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245" activeTab="1"/>
  </bookViews>
  <sheets>
    <sheet name="Фед.казн" sheetId="1" r:id="rId1"/>
    <sheet name="СБР" sheetId="2" r:id="rId2"/>
    <sheet name="1" sheetId="3" r:id="rId3"/>
  </sheets>
  <definedNames/>
  <calcPr fullCalcOnLoad="1"/>
</workbook>
</file>

<file path=xl/sharedStrings.xml><?xml version="1.0" encoding="utf-8"?>
<sst xmlns="http://schemas.openxmlformats.org/spreadsheetml/2006/main" count="1199" uniqueCount="437">
  <si>
    <t>СВОДНАЯ РОСПИСЬ РАСХОДОВ БЮДЖЕТА</t>
  </si>
  <si>
    <t>Коды</t>
  </si>
  <si>
    <t>на</t>
  </si>
  <si>
    <t>год</t>
  </si>
  <si>
    <t>Год</t>
  </si>
  <si>
    <t>Дата</t>
  </si>
  <si>
    <t>Наименование учреждения</t>
  </si>
  <si>
    <t>по ОКПО</t>
  </si>
  <si>
    <t>Главный распорядитель (распорядитель)</t>
  </si>
  <si>
    <t>по ППП</t>
  </si>
  <si>
    <t>Наименование бюджета</t>
  </si>
  <si>
    <t>Единица измерения: руб.</t>
  </si>
  <si>
    <t>по ОКЕИ</t>
  </si>
  <si>
    <t>383</t>
  </si>
  <si>
    <t>Ограничения:</t>
  </si>
  <si>
    <t>Код по Бюджетной классификации</t>
  </si>
  <si>
    <t>Наименование расхода</t>
  </si>
  <si>
    <t>В том числе по кварталам</t>
  </si>
  <si>
    <t>I кв.</t>
  </si>
  <si>
    <t>II кв.</t>
  </si>
  <si>
    <t>III кв.</t>
  </si>
  <si>
    <t>IV кв.</t>
  </si>
  <si>
    <t>1</t>
  </si>
  <si>
    <t>2</t>
  </si>
  <si>
    <t>3</t>
  </si>
  <si>
    <t>4</t>
  </si>
  <si>
    <t>5</t>
  </si>
  <si>
    <t>6</t>
  </si>
  <si>
    <t>7</t>
  </si>
  <si>
    <t>ПОСЕЛЕНИЯ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</si>
  <si>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</si>
  <si>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</si>
  <si>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</si>
  <si>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Заработная плата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</si>
  <si>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</si>
  <si>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</si>
  <si>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</si>
  <si>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Прочие выплаты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</si>
  <si>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</si>
  <si>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</si>
  <si>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</si>
  <si>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</si>
  <si>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</si>
  <si>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</si>
  <si>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Резервные фонды</t>
  </si>
  <si>
    <t>Резервные фонды местных администраций</t>
  </si>
  <si>
    <t>Прочие расходы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</si>
  <si>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</si>
  <si>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</si>
  <si>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Жилищное хозяйство</t>
  </si>
  <si>
    <t>Безвозмездные перечисления государственным и муниципальным организациям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</si>
  <si>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</si>
  <si>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</si>
  <si>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</si>
  <si>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</si>
  <si>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</si>
  <si>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Культура</t>
  </si>
  <si>
    <t>Обеспечение деятельности подведомственных учреждений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</si>
  <si>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</si>
  <si>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</si>
  <si>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</si>
  <si>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Оказание других видов социальной помощи</t>
  </si>
  <si>
    <t>Социальные выплаты</t>
  </si>
  <si>
    <t>Пособия по социальной помощи населению</t>
  </si>
  <si>
    <t>ИТОГО</t>
  </si>
  <si>
    <t>(подпись)</t>
  </si>
  <si>
    <t>(расшифровка подписи)</t>
  </si>
  <si>
    <t>(дата)</t>
  </si>
  <si>
    <t xml:space="preserve">                  АДМИНИСТРАЦИЯ СЕЛЬСКОГО ПОСЕЛЕНИЯ АЛЯБЬЕВСКИЙ</t>
  </si>
  <si>
    <t xml:space="preserve"> </t>
  </si>
  <si>
    <t>Молодежная политика и оздоровление детей</t>
  </si>
  <si>
    <t>Прочие расходные материалы и предметы снабжения</t>
  </si>
  <si>
    <t xml:space="preserve">Мероприятия </t>
  </si>
  <si>
    <t>Начальник ФЭО</t>
  </si>
  <si>
    <t>Мачехина Л.П.</t>
  </si>
  <si>
    <t>Обеспечение проведения выборов и референдумов</t>
  </si>
  <si>
    <t>Проведение выборов и референдумов</t>
  </si>
  <si>
    <t>Мероприятия в области социальной политики</t>
  </si>
  <si>
    <t>Другие общегосударственные вопросы</t>
  </si>
  <si>
    <t>Государственная регистрация актов гражданского состояния</t>
  </si>
  <si>
    <t>Глава сельского поселения Алябьевский</t>
  </si>
  <si>
    <t>Михеичев Н.К.</t>
  </si>
  <si>
    <t>Выходное пособие при увольнении</t>
  </si>
  <si>
    <t>8</t>
  </si>
  <si>
    <t>9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</si>
  <si>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</si>
  <si>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 xml:space="preserve">Руководство и управление в сфере установленных функций </t>
  </si>
  <si>
    <t>Условно утвержденные расходы</t>
  </si>
  <si>
    <t>Центры спортивной подготовки</t>
  </si>
  <si>
    <t xml:space="preserve"> 2012 год</t>
  </si>
  <si>
    <t>Мероприятия в области жилищного хозяйства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</si>
  <si>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</si>
  <si>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РФ</t>
  </si>
  <si>
    <t>Коммунальное хозяйство</t>
  </si>
  <si>
    <t>Мероприятия в области коммунального хозяйства</t>
  </si>
  <si>
    <t>Субсидии юридическим лицам</t>
  </si>
  <si>
    <t>Целевые программы муниципальных образований</t>
  </si>
  <si>
    <t>Безвозмездные перечисления организациям, за исключением государственных и муниципальных организаций</t>
  </si>
  <si>
    <t>Поддержка коммунального хозяйства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</si>
  <si>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</si>
  <si>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</si>
  <si>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</si>
  <si>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2011</t>
  </si>
  <si>
    <t>650 0113 0000000 000 000</t>
  </si>
  <si>
    <t>650 0113 0010000 000 000</t>
  </si>
  <si>
    <t>650 0113 0013800 000 000</t>
  </si>
  <si>
    <t>650 0113 9990000 000 000</t>
  </si>
  <si>
    <t>650 0113 0930000 000 000</t>
  </si>
  <si>
    <t>650 0113 0939900 000 000</t>
  </si>
  <si>
    <t>Учреждения по обеспечению хозяйственного обслуживания</t>
  </si>
  <si>
    <t>650 0000 0000000 000 000</t>
  </si>
  <si>
    <t>650 0102 0000000 000 000</t>
  </si>
  <si>
    <t>650 0102 0020000 000 000</t>
  </si>
  <si>
    <t>650 0102 0020300 000 000</t>
  </si>
  <si>
    <t>650 0104 0000000 000 000</t>
  </si>
  <si>
    <t>650 0104 0020000 000 000</t>
  </si>
  <si>
    <t>650 0104 0020400 000 000</t>
  </si>
  <si>
    <t>650 0203 0000000 000 000</t>
  </si>
  <si>
    <t>650 0203 0010000 000 000</t>
  </si>
  <si>
    <t>650 0203 0013600 000 000</t>
  </si>
  <si>
    <t>650 0309 0000000 000 000</t>
  </si>
  <si>
    <t>650 0309 2180000 000 000</t>
  </si>
  <si>
    <t>650 0309 2180100 000 000</t>
  </si>
  <si>
    <t>650 0401 0000000 000 000</t>
  </si>
  <si>
    <t>650 0401 5224500 000 000</t>
  </si>
  <si>
    <t>650 0501 0000000 000 000</t>
  </si>
  <si>
    <t>650 0501 3500300 000 000</t>
  </si>
  <si>
    <t>650 0502 0000000 000 000</t>
  </si>
  <si>
    <t>650 0502 3510000 000 000</t>
  </si>
  <si>
    <t>650 0502 3510500 000 000</t>
  </si>
  <si>
    <t>650 0503 0000000 000 000</t>
  </si>
  <si>
    <t>650 0503 6000100 000 000</t>
  </si>
  <si>
    <t>650 0503 6000000 000 000</t>
  </si>
  <si>
    <t>650 0503 6000200 000 000</t>
  </si>
  <si>
    <t>650 0503 6000200 500 000</t>
  </si>
  <si>
    <t>650 0503 6000200 500 222</t>
  </si>
  <si>
    <t>650 0503 6000200 500 225</t>
  </si>
  <si>
    <t>650 0503 6000300 000 000</t>
  </si>
  <si>
    <t>650 0503 6000400 000 000</t>
  </si>
  <si>
    <t>650 0503 6000500 000 000</t>
  </si>
  <si>
    <t>650 0707 0000000 000 000</t>
  </si>
  <si>
    <t>650 0707 7950000 000 000</t>
  </si>
  <si>
    <t>650 0801 0000000 000 000</t>
  </si>
  <si>
    <t>650 0801 4400000 000 000</t>
  </si>
  <si>
    <t>650 0801 4409900 000 000</t>
  </si>
  <si>
    <t>650 1003 0000000 000 000</t>
  </si>
  <si>
    <t>650 1003 5058600 000 000</t>
  </si>
  <si>
    <t>650 0410 0000000 000 000</t>
  </si>
  <si>
    <t>650 0410 3300000 000 000</t>
  </si>
  <si>
    <t>650 0410 3300200 000 000</t>
  </si>
  <si>
    <t>Отдельные мероприятия в области информационно-коммуникационных технологий и связи</t>
  </si>
  <si>
    <t>Информационные технологии и связь</t>
  </si>
  <si>
    <t>650 1101 0000000 000 000</t>
  </si>
  <si>
    <t>650 1101 4820000 000 000</t>
  </si>
  <si>
    <t>650 1101 4829900 000 000</t>
  </si>
  <si>
    <t>650 1101 5129700 000 000</t>
  </si>
  <si>
    <t>650 0107 0000000 000 000</t>
  </si>
  <si>
    <t>650 0107 0200002 000 000</t>
  </si>
  <si>
    <t>650 0107 0200002 500 000</t>
  </si>
  <si>
    <t>650 0107 0200002 500 292</t>
  </si>
  <si>
    <t>650 0107 0200003 500 292</t>
  </si>
  <si>
    <t>650 0107 0200003 500 000</t>
  </si>
  <si>
    <t>650 0401 5100000 000 000</t>
  </si>
  <si>
    <t>650 0401 5100301 000 000</t>
  </si>
  <si>
    <t>650 0401 5100302 000 000</t>
  </si>
  <si>
    <t>650 1003 5140100 000 000</t>
  </si>
  <si>
    <t>650 0503 6000200 500 226</t>
  </si>
  <si>
    <t xml:space="preserve"> 2013 год</t>
  </si>
  <si>
    <t>650 0503 6000200 500 310</t>
  </si>
  <si>
    <t>650 0401 5224500 001 211</t>
  </si>
  <si>
    <t>650 0401 5224500 001 213</t>
  </si>
  <si>
    <t>Программа "Содействие занятости населения" на 2011-2013 годы</t>
  </si>
  <si>
    <t>Национальная экономика. Общеэкономические вопросы</t>
  </si>
  <si>
    <t>Выполнение других обязательств государства</t>
  </si>
  <si>
    <t>650 0111 0000000 000 000</t>
  </si>
  <si>
    <t>650 0111 0700500 000 000</t>
  </si>
  <si>
    <t xml:space="preserve">Мероприятия в сфере культуры и кинематографии </t>
  </si>
  <si>
    <t>Мероприятия в сфере культуры и кинематографии</t>
  </si>
  <si>
    <t>650 0801 4400100 000 000</t>
  </si>
  <si>
    <t>650 0412 0000000 000 000</t>
  </si>
  <si>
    <t>650 0412 5220000 000 000</t>
  </si>
  <si>
    <t>650 0412 5226300 000 000</t>
  </si>
  <si>
    <t>Другие вопросы в области национальной экономики</t>
  </si>
  <si>
    <t>Региональные целевые программы</t>
  </si>
  <si>
    <t>Программа "Энергосбережение и повышение энергетической эффективности Ханты-Мансийском автономном округе-Югре на 2011-2015 годы и на перспективу до 2020 года"</t>
  </si>
  <si>
    <t>2012</t>
  </si>
  <si>
    <t xml:space="preserve">и на плановый период 2013 и 2014 г. </t>
  </si>
  <si>
    <t xml:space="preserve">с=01.01.2012; по=31.12.2012; Баланс=Финансовый орган  </t>
  </si>
  <si>
    <t>650 0409 0000000 000 000</t>
  </si>
  <si>
    <t>Связь и информатика</t>
  </si>
  <si>
    <t>Национальная экономика.  Дорожное хозяйство</t>
  </si>
  <si>
    <t>Дорожное хозяйство</t>
  </si>
  <si>
    <t>650 0409 3150000 000 000</t>
  </si>
  <si>
    <t>650 0409 3150200 000 000</t>
  </si>
  <si>
    <t>Поддержка дорожного хозяйства</t>
  </si>
  <si>
    <t>650 0409 3150203 000 000</t>
  </si>
  <si>
    <t>Содержание автомобильных дорог общего пользования</t>
  </si>
  <si>
    <t>650 0409 3150203 200 000</t>
  </si>
  <si>
    <t>Закупка товаров, работ и услуг для государственных (муниципальных) нужд</t>
  </si>
  <si>
    <t>650 0409 3150203 240 000</t>
  </si>
  <si>
    <t>Иные закупки товаров, работ и услуг для государственных (муниципальных) нужд</t>
  </si>
  <si>
    <t>650 0409 3150203 244 000</t>
  </si>
  <si>
    <t>Прочая закупка товаров,работ и услуг для государственных (муниципальных) нужд</t>
  </si>
  <si>
    <t>650 0409 5220000 000 000</t>
  </si>
  <si>
    <t>650 0409 5226100 000 000</t>
  </si>
  <si>
    <t xml:space="preserve">Программа "Развитие транспортной системы Ханты-Мансийского автономного округа-Югры" на 2011-2013 годы и на период до 2015 года </t>
  </si>
  <si>
    <t>650 0409 5226105 000 000</t>
  </si>
  <si>
    <t xml:space="preserve">Подпрограмма "Автомобильные дороги" </t>
  </si>
  <si>
    <t>Межбюджетные трансферты</t>
  </si>
  <si>
    <t>650 0409 5226105 500 000</t>
  </si>
  <si>
    <t>650 0409 5226105 520 000</t>
  </si>
  <si>
    <t>Субсидии</t>
  </si>
  <si>
    <t>650 0409 5226105 521 000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</si>
  <si>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</si>
  <si>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650 0409 5226105 521 225</t>
  </si>
  <si>
    <t>650 0409 3150203 244 222</t>
  </si>
  <si>
    <t>650 0409 3150203 244 225</t>
  </si>
  <si>
    <t>650 0409 3150203 244 226</t>
  </si>
  <si>
    <r>
      <t xml:space="preserve">НЕ ДЕЙСТВУЕТ с 2012 года! </t>
    </r>
    <r>
      <rPr>
        <sz val="9"/>
        <color indexed="8"/>
        <rFont val="Times New Roman"/>
        <family val="1"/>
      </rPr>
      <t>Содержание автомобильных дорог и инженерных сооружений на них в границах городских округов и поселений в рамках благоустройства</t>
    </r>
  </si>
  <si>
    <t>Безвозмездные и безвозвратные перечисления государственным и муниципальным организациям</t>
  </si>
  <si>
    <t>650 0102 0020300 100 000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</si>
  <si>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</si>
  <si>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</si>
  <si>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650 0102 0020300 121 211</t>
  </si>
  <si>
    <t>650 0102 0020300 121  213</t>
  </si>
  <si>
    <t>Фонд оплаты труда и страховые взносы</t>
  </si>
  <si>
    <t>650 0104 0020400 100 000</t>
  </si>
  <si>
    <t>650 0104 0020400 121 211</t>
  </si>
  <si>
    <t>650 0104 0020400 121 213</t>
  </si>
  <si>
    <t>Иные выплаты персоналу, за исключением фонда оплаты труда</t>
  </si>
  <si>
    <t>650 0104 0020400 122 212</t>
  </si>
  <si>
    <t>650 0104 0020400 200 000</t>
  </si>
  <si>
    <t>650 0104 0020400 240 000</t>
  </si>
  <si>
    <t>650 0104 0020400 244 000</t>
  </si>
  <si>
    <t>650 0104 0020400 800 000</t>
  </si>
  <si>
    <t>650 0104 0020400 850 000</t>
  </si>
  <si>
    <t>650 0104 0020400 852 000</t>
  </si>
  <si>
    <t>650 0104 0020400 852 290</t>
  </si>
  <si>
    <t>650 0104 0020400 244 221</t>
  </si>
  <si>
    <t>650 0104 0020400 244 222</t>
  </si>
  <si>
    <t>650 0104 0020400 244 223</t>
  </si>
  <si>
    <t>650 0104 0020400 244 225</t>
  </si>
  <si>
    <t>650 0104 0020400 244 226</t>
  </si>
  <si>
    <t>650 0104 0020400 244 262</t>
  </si>
  <si>
    <t>650 0104 0020400 244 310</t>
  </si>
  <si>
    <t>650 0104 0020400 244 340</t>
  </si>
  <si>
    <t>Закупка товаров, работ и услуг для государственных нужд</t>
  </si>
  <si>
    <t>Прочая 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</si>
  <si>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</si>
  <si>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</si>
  <si>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</si>
  <si>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650 0111 070000 000 000</t>
  </si>
  <si>
    <t xml:space="preserve">Резервные фонды </t>
  </si>
  <si>
    <t>650 0111 0700500 800 000</t>
  </si>
  <si>
    <t>650 0111 0700500 870 000</t>
  </si>
  <si>
    <t>Резервные средства</t>
  </si>
  <si>
    <t>650 0111 0700500 870 290</t>
  </si>
  <si>
    <t>Органы юстиции</t>
  </si>
  <si>
    <t>650 0304 0010000 000 000</t>
  </si>
  <si>
    <t>650 0304 0000000 000 000</t>
  </si>
  <si>
    <t>650 0304 0013800 000 000</t>
  </si>
  <si>
    <t>650 0304 0013802 200 000</t>
  </si>
  <si>
    <t>650 0304 0013802 240 000</t>
  </si>
  <si>
    <t>650 0304 0013802 244 000</t>
  </si>
  <si>
    <t>650 0304 0013802 244 310</t>
  </si>
  <si>
    <t>650 0304 0013802 244 340</t>
  </si>
  <si>
    <t>650 0113 0920000 000 000</t>
  </si>
  <si>
    <t>650 0113 0920305 122 212</t>
  </si>
  <si>
    <t>650 0113 0920305 100 000</t>
  </si>
  <si>
    <t>650  0113 0920305 000 000</t>
  </si>
  <si>
    <t>Реализация государственных функций, связанных с общегосударственным управлением</t>
  </si>
  <si>
    <t>650 0113 0939900 200 000</t>
  </si>
  <si>
    <t>650 0113 0939900 240 000</t>
  </si>
  <si>
    <t>650 0113 0939900 244 000</t>
  </si>
  <si>
    <t>650 0113 0939900 244 223</t>
  </si>
  <si>
    <t>650 0113 0939900 244 225</t>
  </si>
  <si>
    <t>650 0113 0939900 244 226</t>
  </si>
  <si>
    <t>650 0113 0939900 244 340</t>
  </si>
  <si>
    <t>650 0113 9990000 800 000</t>
  </si>
  <si>
    <t>650 0113 9990000 870 290</t>
  </si>
  <si>
    <t>650 0203 0013600 100 000</t>
  </si>
  <si>
    <t>650 0203 0013600 121 211</t>
  </si>
  <si>
    <t>650 0203 0013600 121 213</t>
  </si>
  <si>
    <t>650 0203 0013600 122 212</t>
  </si>
  <si>
    <t>650 0203 0013600 240 000</t>
  </si>
  <si>
    <t>650 0203 0013600 244 000</t>
  </si>
  <si>
    <t>650 0203 0013600 200 000</t>
  </si>
  <si>
    <t>650 0203 0013600 244 221</t>
  </si>
  <si>
    <t>650 0203 0013600 244 222</t>
  </si>
  <si>
    <t>650 0203 0013600 244 223</t>
  </si>
  <si>
    <t>650 0203 0013600 244 225</t>
  </si>
  <si>
    <t>650 0203 0013600 244 226</t>
  </si>
  <si>
    <t>650 0203 0013600 244 310</t>
  </si>
  <si>
    <t>650 0203 0013600 244 340</t>
  </si>
  <si>
    <t>650 0203 0013600 852 290</t>
  </si>
  <si>
    <t>650 0203 0013600 852 000</t>
  </si>
  <si>
    <t>650 0203 0013600 850 000</t>
  </si>
  <si>
    <t>650 0203 0013600 800 000</t>
  </si>
  <si>
    <t>650 0309 2180100 200 000</t>
  </si>
  <si>
    <t>650 0309 2180100 240 000</t>
  </si>
  <si>
    <t>650 0309 2180100 244 000</t>
  </si>
  <si>
    <t>650 0309 2180100 244 222</t>
  </si>
  <si>
    <t>650 0309 2180100 244 225</t>
  </si>
  <si>
    <t>650 0309 2180100 244 226</t>
  </si>
  <si>
    <t>650 0309 2180100 244 310</t>
  </si>
  <si>
    <t>650 0309 2180100 244 340</t>
  </si>
  <si>
    <t>650 0401 5100301 100 000</t>
  </si>
  <si>
    <t>650 0401 5100301 120 000</t>
  </si>
  <si>
    <t>650 0401 5100301 121 000</t>
  </si>
  <si>
    <t>650 0401 5100301 121 211</t>
  </si>
  <si>
    <t>650 0401 5100301 121 213</t>
  </si>
  <si>
    <r>
      <t xml:space="preserve">650 0401 5100302 </t>
    </r>
    <r>
      <rPr>
        <sz val="8"/>
        <color indexed="10"/>
        <rFont val="Times New Roman"/>
        <family val="1"/>
      </rPr>
      <t xml:space="preserve">001 </t>
    </r>
    <r>
      <rPr>
        <sz val="8"/>
        <color indexed="8"/>
        <rFont val="Times New Roman"/>
        <family val="1"/>
      </rPr>
      <t>000</t>
    </r>
  </si>
  <si>
    <t>650 0401 5224500 100 000</t>
  </si>
  <si>
    <t>650 0401 5224500 120 000</t>
  </si>
  <si>
    <t>650 0401 5224500 121 000</t>
  </si>
  <si>
    <t>650 0401 5224500 200 000</t>
  </si>
  <si>
    <t>650 0401 5224500 240 000</t>
  </si>
  <si>
    <t>650 0401 5224500 244 000</t>
  </si>
  <si>
    <t>650 0401 5224500 244 225</t>
  </si>
  <si>
    <t>650 0401 5224500 244 226</t>
  </si>
  <si>
    <t>650 0410 3300200 200 000</t>
  </si>
  <si>
    <t>650 0410 3300200 240 000</t>
  </si>
  <si>
    <t>650 0410 3300200 244 000</t>
  </si>
  <si>
    <t>650 0410 3300200 244 221</t>
  </si>
  <si>
    <t>650 0410 3300200 242 000</t>
  </si>
  <si>
    <t>650 0410 3300200 242 226</t>
  </si>
  <si>
    <t>650 0410 3300200 242 340</t>
  </si>
  <si>
    <t>Закупка товаров,работ и услуг в сфере информациронно-коммуникационных технологий</t>
  </si>
  <si>
    <r>
      <t xml:space="preserve">650 0412 5226300 </t>
    </r>
    <r>
      <rPr>
        <sz val="8"/>
        <color indexed="10"/>
        <rFont val="Tahoma"/>
        <family val="2"/>
      </rPr>
      <t>500</t>
    </r>
    <r>
      <rPr>
        <sz val="8"/>
        <color indexed="8"/>
        <rFont val="Tahoma"/>
        <family val="2"/>
      </rPr>
      <t xml:space="preserve"> 000</t>
    </r>
  </si>
  <si>
    <r>
      <t xml:space="preserve">650 0412 5226300 </t>
    </r>
    <r>
      <rPr>
        <sz val="8"/>
        <color indexed="10"/>
        <rFont val="Tahoma"/>
        <family val="2"/>
      </rPr>
      <t>500</t>
    </r>
    <r>
      <rPr>
        <sz val="8"/>
        <color indexed="8"/>
        <rFont val="Tahoma"/>
        <family val="2"/>
      </rPr>
      <t xml:space="preserve"> 221</t>
    </r>
  </si>
  <si>
    <r>
      <t xml:space="preserve">650 0412 5226300 </t>
    </r>
    <r>
      <rPr>
        <sz val="8"/>
        <color indexed="10"/>
        <rFont val="Tahoma"/>
        <family val="2"/>
      </rPr>
      <t>500</t>
    </r>
    <r>
      <rPr>
        <sz val="8"/>
        <color indexed="8"/>
        <rFont val="Tahoma"/>
        <family val="2"/>
      </rPr>
      <t xml:space="preserve"> 226</t>
    </r>
  </si>
  <si>
    <r>
      <t xml:space="preserve">650 0412 5226300 </t>
    </r>
    <r>
      <rPr>
        <sz val="8"/>
        <color indexed="10"/>
        <rFont val="Tahoma"/>
        <family val="2"/>
      </rPr>
      <t>500</t>
    </r>
    <r>
      <rPr>
        <sz val="8"/>
        <color indexed="8"/>
        <rFont val="Tahoma"/>
        <family val="2"/>
      </rPr>
      <t xml:space="preserve"> 340</t>
    </r>
  </si>
  <si>
    <t>Поддержка жилищного хозяйства</t>
  </si>
  <si>
    <t>650 0501 3500000 000 000</t>
  </si>
  <si>
    <t>650 0501 3500300 200 000</t>
  </si>
  <si>
    <t>650 0501 3500300 240 000</t>
  </si>
  <si>
    <t>650 0501 3500300 244 000</t>
  </si>
  <si>
    <t>650 0501 3500300 244 225</t>
  </si>
  <si>
    <t>650 0501 3500300 244 226</t>
  </si>
  <si>
    <t>650 0501 3500300 244 290</t>
  </si>
  <si>
    <t>650 0501 3500300 244 310</t>
  </si>
  <si>
    <t>650 0501 3500300 244 340</t>
  </si>
  <si>
    <r>
      <t xml:space="preserve">650 0502 3510500 </t>
    </r>
    <r>
      <rPr>
        <sz val="8"/>
        <color indexed="10"/>
        <rFont val="Tahoma"/>
        <family val="2"/>
      </rPr>
      <t>006</t>
    </r>
    <r>
      <rPr>
        <sz val="8"/>
        <color indexed="8"/>
        <rFont val="Tahoma"/>
        <family val="2"/>
      </rPr>
      <t xml:space="preserve"> 000</t>
    </r>
  </si>
  <si>
    <r>
      <t>650 0502 3510500</t>
    </r>
    <r>
      <rPr>
        <sz val="8"/>
        <color indexed="10"/>
        <rFont val="Tahoma"/>
        <family val="2"/>
      </rPr>
      <t xml:space="preserve"> 006 </t>
    </r>
    <r>
      <rPr>
        <sz val="8"/>
        <color indexed="8"/>
        <rFont val="Tahoma"/>
        <family val="2"/>
      </rPr>
      <t>242</t>
    </r>
  </si>
  <si>
    <t>650 0503 6000100 200 000</t>
  </si>
  <si>
    <t>650 0503 6000100 240 000</t>
  </si>
  <si>
    <t>650 0503 6000100 244 000</t>
  </si>
  <si>
    <t>650 0503 6000100 244 222</t>
  </si>
  <si>
    <t>650 0503 6000100 244 223</t>
  </si>
  <si>
    <t>650 0503 6000100 244 225</t>
  </si>
  <si>
    <t>650 0503 6000100 244 226</t>
  </si>
  <si>
    <t>650 0503 6000100 244 340</t>
  </si>
  <si>
    <t>650 0503 6000300 200 000</t>
  </si>
  <si>
    <t>650 0503 6000300 240 000</t>
  </si>
  <si>
    <t>650 0503 6000300 244 000</t>
  </si>
  <si>
    <t>650 0503 6000300 244 225</t>
  </si>
  <si>
    <t>650 0503 6000400 200 000</t>
  </si>
  <si>
    <t>650 0503 6000400 240 000</t>
  </si>
  <si>
    <t>650 0503 6000400 244 000</t>
  </si>
  <si>
    <t>650 0503 6000400 244 222</t>
  </si>
  <si>
    <t>650 0503 6000400 244 225</t>
  </si>
  <si>
    <t>650 0503 6000400 244 226</t>
  </si>
  <si>
    <t>650 0503 6000400 244 340</t>
  </si>
  <si>
    <t>650 0503 6000500 200 000</t>
  </si>
  <si>
    <t>650 0503 6000500 240 000</t>
  </si>
  <si>
    <t>650 0503 6000500 244 000</t>
  </si>
  <si>
    <t>650 0503 6000500 244 222</t>
  </si>
  <si>
    <t>650 0503 6000500 244 223</t>
  </si>
  <si>
    <t>650 0503 6000500 244 225</t>
  </si>
  <si>
    <t>650 0503 6000500 244 226</t>
  </si>
  <si>
    <t>650 0503 6000500 244 310</t>
  </si>
  <si>
    <t>650 0503 6000500 244 340</t>
  </si>
  <si>
    <t>650 0503 6000500 852 290</t>
  </si>
  <si>
    <t>650 0503 6000500 800 000</t>
  </si>
  <si>
    <t>650 0503 6000500 850 000</t>
  </si>
  <si>
    <t>650 0503 6000500 852 000</t>
  </si>
  <si>
    <t>650 0707 7953000 200 000</t>
  </si>
  <si>
    <t>650 0707 7953000 240 000</t>
  </si>
  <si>
    <t>650 0707 7953000 244 000</t>
  </si>
  <si>
    <t>650 0707 7950100 200 000</t>
  </si>
  <si>
    <t>650 0707 7950100 240 000</t>
  </si>
  <si>
    <t>650 0707 7950100 244 000</t>
  </si>
  <si>
    <t>650 0707 7950100 244 310</t>
  </si>
  <si>
    <t>650 0707 7950100 244 340</t>
  </si>
  <si>
    <t>650 0707 7953000 244 310</t>
  </si>
  <si>
    <t>650 0707 7953000 244 340</t>
  </si>
  <si>
    <t>650 0801 4409900 600 000</t>
  </si>
  <si>
    <t>650 0801 4409900 610 000</t>
  </si>
  <si>
    <t>650 0801 4409900 611 000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</si>
  <si>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</si>
  <si>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</si>
  <si>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</si>
  <si>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650 0801 4400100 600 000</t>
  </si>
  <si>
    <t>650 0801 4400100 610 000</t>
  </si>
  <si>
    <t>650 0801 4400100 611 000</t>
  </si>
  <si>
    <t>650 0801 4400100 611 241</t>
  </si>
  <si>
    <t>650 1101 4829900 600 000</t>
  </si>
  <si>
    <t>650 1101 4829900 610 000</t>
  </si>
  <si>
    <t>650 1101 4829900 611 000</t>
  </si>
  <si>
    <t>650 1101 4829900 611 241</t>
  </si>
  <si>
    <t>650 0801 4409900 611 241</t>
  </si>
  <si>
    <t>650 1101 5120000 000 000</t>
  </si>
  <si>
    <t>Физкультурно-оздоровительная работа и спортивные мероприятия</t>
  </si>
  <si>
    <t>650 1101 5129700 600 000</t>
  </si>
  <si>
    <t>650 1101 5129700 610 000</t>
  </si>
  <si>
    <t>650 1101 5129700 611 000</t>
  </si>
  <si>
    <t>650 1101 5129700 611 241</t>
  </si>
  <si>
    <r>
      <t xml:space="preserve">650 1003 5058600 </t>
    </r>
    <r>
      <rPr>
        <sz val="8"/>
        <color indexed="10"/>
        <rFont val="Tahoma"/>
        <family val="2"/>
      </rPr>
      <t>005</t>
    </r>
    <r>
      <rPr>
        <sz val="8"/>
        <color indexed="8"/>
        <rFont val="Tahoma"/>
        <family val="2"/>
      </rPr>
      <t xml:space="preserve"> 000</t>
    </r>
  </si>
  <si>
    <r>
      <t xml:space="preserve">650 1003 5058600 </t>
    </r>
    <r>
      <rPr>
        <sz val="8"/>
        <color indexed="10"/>
        <rFont val="Tahoma"/>
        <family val="2"/>
      </rPr>
      <t>005</t>
    </r>
    <r>
      <rPr>
        <sz val="8"/>
        <color indexed="8"/>
        <rFont val="Tahoma"/>
        <family val="2"/>
      </rPr>
      <t xml:space="preserve"> 262</t>
    </r>
  </si>
  <si>
    <r>
      <t xml:space="preserve">650 1003 5140100 </t>
    </r>
    <r>
      <rPr>
        <sz val="8"/>
        <color indexed="10"/>
        <rFont val="Tahoma"/>
        <family val="2"/>
      </rPr>
      <t>013</t>
    </r>
    <r>
      <rPr>
        <sz val="8"/>
        <color indexed="8"/>
        <rFont val="Tahoma"/>
        <family val="2"/>
      </rPr>
      <t xml:space="preserve"> 000</t>
    </r>
  </si>
  <si>
    <r>
      <t xml:space="preserve">650 1003 5140100 </t>
    </r>
    <r>
      <rPr>
        <sz val="8"/>
        <color indexed="10"/>
        <rFont val="Tahoma"/>
        <family val="2"/>
      </rPr>
      <t>013</t>
    </r>
    <r>
      <rPr>
        <sz val="8"/>
        <color indexed="8"/>
        <rFont val="Tahoma"/>
        <family val="2"/>
      </rPr>
      <t xml:space="preserve"> 226</t>
    </r>
  </si>
  <si>
    <t>д.б.</t>
  </si>
  <si>
    <t>650 0113 0013802 200 000</t>
  </si>
  <si>
    <t>650 0113 0013802 240 000</t>
  </si>
  <si>
    <t>650 0113 0013802 244 000</t>
  </si>
  <si>
    <t>650 0113 0013802 244 310</t>
  </si>
  <si>
    <t>650 0113 0013802 244 340</t>
  </si>
  <si>
    <t>650 0102 0020300 110 000</t>
  </si>
  <si>
    <t>650 0102 0020300 111 000</t>
  </si>
  <si>
    <t>650 0102 0020300 111 211</t>
  </si>
  <si>
    <t>650 0102 0020300 111  213</t>
  </si>
  <si>
    <t>650 0104 0020400 110 000</t>
  </si>
  <si>
    <t>650 0104 0020400 111 000</t>
  </si>
  <si>
    <t>650 0104 0020400 111 211</t>
  </si>
  <si>
    <t>650 0104 0020400 111 213</t>
  </si>
  <si>
    <t>650 0104 0020400 112 000</t>
  </si>
  <si>
    <t>650 0104 0020400 112 212</t>
  </si>
  <si>
    <t>650 0113 0920305 110 000</t>
  </si>
  <si>
    <t>650 0113 0920305 112 000</t>
  </si>
  <si>
    <t>650 0113 0920305 112 212</t>
  </si>
  <si>
    <t>650 0203 0013600 110 000</t>
  </si>
  <si>
    <t>650 0203 0013600 111 000</t>
  </si>
  <si>
    <t>650 0203 0013600 111 211</t>
  </si>
  <si>
    <t>650 0203 0013600 111 213</t>
  </si>
  <si>
    <t>650 0203 0013600 112 000</t>
  </si>
  <si>
    <t>650 0203 0013600 112 212</t>
  </si>
  <si>
    <t xml:space="preserve"> 2014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</si>
</sst>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2">
    <font>
      <sz val="10"/>
      <name val="Arial Cyr"/>
      <family val="0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i/>
      <sz val="9"/>
      <color indexed="8"/>
      <name val="Times New Roman"/>
      <family val="1"/>
    </font>
    <font>
      <b/>
      <sz val="7"/>
      <color indexed="8"/>
      <name val="Tahoma"/>
      <family val="2"/>
    </font>
    <font>
      <sz val="8"/>
      <color indexed="8"/>
      <name val="Arial"/>
      <family val="2"/>
    </font>
    <font>
      <b/>
      <i/>
      <sz val="9"/>
      <color indexed="8"/>
      <name val="Times New Roman"/>
      <family val="1"/>
    </font>
    <font>
      <sz val="10"/>
      <name val="Times New Roman"/>
      <family val="0"/>
    </font>
    <font>
      <sz val="8"/>
      <name val="Arial Cyr"/>
      <family val="0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6"/>
      <color indexed="8"/>
      <name val="Arial"/>
      <family val="2"/>
    </font>
    <font>
      <sz val="9"/>
      <name val="Times New Roman"/>
      <family val="0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Tahoma"/>
      <family val="2"/>
    </font>
    <font>
      <sz val="8"/>
      <color indexed="10"/>
      <name val="Times New Roman"/>
      <family val="1"/>
    </font>
    <font>
      <sz val="8"/>
      <name val="Tahoma"/>
      <family val="2"/>
    </font>
    <font>
      <sz val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 vertical="top" wrapText="1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2" fontId="0" fillId="0" borderId="0" xfId="0" applyNumberFormat="1" applyFill="1" applyAlignment="1">
      <alignment/>
    </xf>
    <xf numFmtId="49" fontId="1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49" fontId="3" fillId="5" borderId="3" xfId="0" applyNumberFormat="1" applyFont="1" applyFill="1" applyBorder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49" fontId="2" fillId="5" borderId="7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" fontId="0" fillId="4" borderId="0" xfId="0" applyNumberFormat="1" applyFill="1" applyAlignment="1">
      <alignment/>
    </xf>
    <xf numFmtId="4" fontId="2" fillId="3" borderId="14" xfId="0" applyNumberFormat="1" applyFont="1" applyFill="1" applyBorder="1" applyAlignment="1">
      <alignment horizontal="right" vertical="center" wrapText="1"/>
    </xf>
    <xf numFmtId="4" fontId="2" fillId="2" borderId="14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4" fontId="2" fillId="4" borderId="14" xfId="0" applyNumberFormat="1" applyFont="1" applyFill="1" applyBorder="1" applyAlignment="1">
      <alignment horizontal="right" vertical="center" wrapText="1"/>
    </xf>
    <xf numFmtId="4" fontId="2" fillId="4" borderId="15" xfId="0" applyNumberFormat="1" applyFont="1" applyFill="1" applyBorder="1" applyAlignment="1">
      <alignment horizontal="right" vertical="center" wrapText="1"/>
    </xf>
    <xf numFmtId="4" fontId="2" fillId="2" borderId="16" xfId="0" applyNumberFormat="1" applyFont="1" applyFill="1" applyBorder="1" applyAlignment="1">
      <alignment horizontal="right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4" fontId="2" fillId="2" borderId="17" xfId="0" applyNumberFormat="1" applyFont="1" applyFill="1" applyBorder="1" applyAlignment="1">
      <alignment horizontal="right" vertical="center" wrapText="1"/>
    </xf>
    <xf numFmtId="4" fontId="2" fillId="3" borderId="6" xfId="0" applyNumberFormat="1" applyFont="1" applyFill="1" applyBorder="1" applyAlignment="1">
      <alignment horizontal="right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Fill="1" applyAlignment="1">
      <alignment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2" fillId="6" borderId="19" xfId="0" applyNumberFormat="1" applyFont="1" applyFill="1" applyBorder="1" applyAlignment="1">
      <alignment horizontal="center" vertical="center" wrapText="1"/>
    </xf>
    <xf numFmtId="4" fontId="0" fillId="6" borderId="0" xfId="0" applyNumberFormat="1" applyFill="1" applyAlignment="1">
      <alignment/>
    </xf>
    <xf numFmtId="0" fontId="0" fillId="6" borderId="0" xfId="0" applyFill="1" applyAlignment="1">
      <alignment/>
    </xf>
    <xf numFmtId="49" fontId="5" fillId="0" borderId="21" xfId="0" applyNumberFormat="1" applyFont="1" applyFill="1" applyBorder="1" applyAlignment="1">
      <alignment horizontal="center" vertical="center" wrapText="1"/>
    </xf>
    <xf numFmtId="4" fontId="2" fillId="6" borderId="14" xfId="0" applyNumberFormat="1" applyFont="1" applyFill="1" applyBorder="1" applyAlignment="1">
      <alignment horizontal="right" vertical="center" wrapText="1"/>
    </xf>
    <xf numFmtId="4" fontId="2" fillId="4" borderId="4" xfId="0" applyNumberFormat="1" applyFont="1" applyFill="1" applyBorder="1" applyAlignment="1">
      <alignment horizontal="right" vertical="center" wrapText="1"/>
    </xf>
    <xf numFmtId="4" fontId="2" fillId="6" borderId="6" xfId="0" applyNumberFormat="1" applyFont="1" applyFill="1" applyBorder="1" applyAlignment="1">
      <alignment horizontal="right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2" fillId="4" borderId="6" xfId="0" applyNumberFormat="1" applyFont="1" applyFill="1" applyBorder="1" applyAlignment="1">
      <alignment horizontal="right" vertical="center" wrapText="1"/>
    </xf>
    <xf numFmtId="4" fontId="2" fillId="2" borderId="19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Fill="1" applyBorder="1" applyAlignment="1">
      <alignment horizontal="right" vertical="center" wrapText="1"/>
    </xf>
    <xf numFmtId="4" fontId="2" fillId="2" borderId="22" xfId="0" applyNumberFormat="1" applyFont="1" applyFill="1" applyBorder="1" applyAlignment="1">
      <alignment horizontal="right" vertical="center" wrapText="1"/>
    </xf>
    <xf numFmtId="4" fontId="2" fillId="4" borderId="23" xfId="0" applyNumberFormat="1" applyFont="1" applyFill="1" applyBorder="1" applyAlignment="1">
      <alignment horizontal="right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right" vertical="center" wrapText="1"/>
    </xf>
    <xf numFmtId="4" fontId="2" fillId="0" borderId="8" xfId="0" applyNumberFormat="1" applyFont="1" applyFill="1" applyBorder="1" applyAlignment="1">
      <alignment horizontal="right" vertical="center" wrapText="1"/>
    </xf>
    <xf numFmtId="4" fontId="10" fillId="3" borderId="8" xfId="0" applyNumberFormat="1" applyFont="1" applyFill="1" applyBorder="1" applyAlignment="1">
      <alignment horizontal="right" vertical="center" wrapText="1"/>
    </xf>
    <xf numFmtId="4" fontId="10" fillId="3" borderId="14" xfId="0" applyNumberFormat="1" applyFont="1" applyFill="1" applyBorder="1" applyAlignment="1">
      <alignment horizontal="right" vertical="center" wrapText="1"/>
    </xf>
    <xf numFmtId="4" fontId="8" fillId="4" borderId="0" xfId="0" applyNumberFormat="1" applyFont="1" applyFill="1" applyAlignment="1">
      <alignment/>
    </xf>
    <xf numFmtId="0" fontId="8" fillId="3" borderId="0" xfId="0" applyFont="1" applyFill="1" applyAlignment="1">
      <alignment/>
    </xf>
    <xf numFmtId="49" fontId="10" fillId="2" borderId="19" xfId="0" applyNumberFormat="1" applyFont="1" applyFill="1" applyBorder="1" applyAlignment="1">
      <alignment horizontal="center" vertical="center" wrapText="1"/>
    </xf>
    <xf numFmtId="4" fontId="10" fillId="2" borderId="8" xfId="0" applyNumberFormat="1" applyFont="1" applyFill="1" applyBorder="1" applyAlignment="1">
      <alignment horizontal="right" vertical="center" wrapText="1"/>
    </xf>
    <xf numFmtId="4" fontId="10" fillId="2" borderId="14" xfId="0" applyNumberFormat="1" applyFont="1" applyFill="1" applyBorder="1" applyAlignment="1">
      <alignment horizontal="right" vertical="center" wrapText="1"/>
    </xf>
    <xf numFmtId="4" fontId="8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2" fillId="2" borderId="24" xfId="0" applyNumberFormat="1" applyFont="1" applyFill="1" applyBorder="1" applyAlignment="1">
      <alignment horizontal="right" vertical="center" wrapText="1"/>
    </xf>
    <xf numFmtId="4" fontId="2" fillId="4" borderId="25" xfId="0" applyNumberFormat="1" applyFont="1" applyFill="1" applyBorder="1" applyAlignment="1">
      <alignment horizontal="right" vertical="center" wrapText="1"/>
    </xf>
    <xf numFmtId="4" fontId="10" fillId="3" borderId="6" xfId="0" applyNumberFormat="1" applyFont="1" applyFill="1" applyBorder="1" applyAlignment="1">
      <alignment horizontal="right" vertical="center" wrapText="1"/>
    </xf>
    <xf numFmtId="4" fontId="10" fillId="2" borderId="6" xfId="0" applyNumberFormat="1" applyFont="1" applyFill="1" applyBorder="1" applyAlignment="1">
      <alignment horizontal="right" vertical="center" wrapText="1"/>
    </xf>
    <xf numFmtId="4" fontId="10" fillId="0" borderId="6" xfId="0" applyNumberFormat="1" applyFont="1" applyFill="1" applyBorder="1" applyAlignment="1">
      <alignment horizontal="right" vertical="center" wrapText="1"/>
    </xf>
    <xf numFmtId="4" fontId="10" fillId="4" borderId="6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3" borderId="19" xfId="0" applyNumberFormat="1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right" vertical="center" wrapText="1"/>
    </xf>
    <xf numFmtId="4" fontId="2" fillId="6" borderId="8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4" fontId="2" fillId="2" borderId="8" xfId="0" applyNumberFormat="1" applyFont="1" applyFill="1" applyBorder="1" applyAlignment="1">
      <alignment horizontal="right" vertical="center" wrapText="1"/>
    </xf>
    <xf numFmtId="4" fontId="2" fillId="4" borderId="8" xfId="0" applyNumberFormat="1" applyFont="1" applyFill="1" applyBorder="1" applyAlignment="1">
      <alignment horizontal="right" vertical="center" wrapText="1"/>
    </xf>
    <xf numFmtId="4" fontId="15" fillId="0" borderId="26" xfId="0" applyNumberFormat="1" applyFont="1" applyFill="1" applyBorder="1" applyAlignment="1">
      <alignment horizontal="right"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Alignment="1">
      <alignment/>
    </xf>
    <xf numFmtId="4" fontId="0" fillId="0" borderId="0" xfId="0" applyNumberFormat="1" applyFill="1" applyAlignment="1">
      <alignment/>
    </xf>
    <xf numFmtId="2" fontId="2" fillId="0" borderId="0" xfId="0" applyNumberFormat="1" applyFont="1" applyFill="1" applyAlignment="1">
      <alignment vertical="center" wrapText="1"/>
    </xf>
    <xf numFmtId="4" fontId="15" fillId="0" borderId="27" xfId="0" applyNumberFormat="1" applyFont="1" applyFill="1" applyBorder="1" applyAlignment="1">
      <alignment horizontal="right" vertical="center" wrapText="1"/>
    </xf>
    <xf numFmtId="4" fontId="16" fillId="4" borderId="8" xfId="0" applyNumberFormat="1" applyFont="1" applyFill="1" applyBorder="1" applyAlignment="1">
      <alignment horizontal="right" vertical="center" wrapText="1"/>
    </xf>
    <xf numFmtId="4" fontId="16" fillId="4" borderId="14" xfId="0" applyNumberFormat="1" applyFont="1" applyFill="1" applyBorder="1" applyAlignment="1">
      <alignment horizontal="right" vertical="center" wrapText="1"/>
    </xf>
    <xf numFmtId="4" fontId="16" fillId="4" borderId="6" xfId="0" applyNumberFormat="1" applyFont="1" applyFill="1" applyBorder="1" applyAlignment="1">
      <alignment horizontal="right" vertical="center" wrapText="1"/>
    </xf>
    <xf numFmtId="4" fontId="16" fillId="4" borderId="19" xfId="0" applyNumberFormat="1" applyFont="1" applyFill="1" applyBorder="1" applyAlignment="1">
      <alignment horizontal="right" vertical="center" wrapText="1"/>
    </xf>
    <xf numFmtId="4" fontId="18" fillId="4" borderId="8" xfId="0" applyNumberFormat="1" applyFont="1" applyFill="1" applyBorder="1" applyAlignment="1">
      <alignment horizontal="right" vertical="center" wrapText="1"/>
    </xf>
    <xf numFmtId="4" fontId="18" fillId="4" borderId="14" xfId="0" applyNumberFormat="1" applyFont="1" applyFill="1" applyBorder="1" applyAlignment="1">
      <alignment horizontal="right" vertical="center" wrapText="1"/>
    </xf>
    <xf numFmtId="4" fontId="18" fillId="0" borderId="8" xfId="0" applyNumberFormat="1" applyFont="1" applyFill="1" applyBorder="1" applyAlignment="1">
      <alignment horizontal="right" vertical="center" wrapText="1"/>
    </xf>
    <xf numFmtId="4" fontId="18" fillId="0" borderId="14" xfId="0" applyNumberFormat="1" applyFont="1" applyFill="1" applyBorder="1" applyAlignment="1">
      <alignment horizontal="right" vertical="center" wrapText="1"/>
    </xf>
    <xf numFmtId="4" fontId="19" fillId="2" borderId="8" xfId="0" applyNumberFormat="1" applyFont="1" applyFill="1" applyBorder="1" applyAlignment="1">
      <alignment horizontal="right" vertical="center" wrapText="1"/>
    </xf>
    <xf numFmtId="4" fontId="19" fillId="2" borderId="14" xfId="0" applyNumberFormat="1" applyFont="1" applyFill="1" applyBorder="1" applyAlignment="1">
      <alignment horizontal="right" vertical="center" wrapText="1"/>
    </xf>
    <xf numFmtId="4" fontId="19" fillId="0" borderId="8" xfId="0" applyNumberFormat="1" applyFont="1" applyFill="1" applyBorder="1" applyAlignment="1">
      <alignment horizontal="right" vertical="center" wrapText="1"/>
    </xf>
    <xf numFmtId="4" fontId="19" fillId="0" borderId="14" xfId="0" applyNumberFormat="1" applyFont="1" applyFill="1" applyBorder="1" applyAlignment="1">
      <alignment horizontal="right" vertical="center" wrapText="1"/>
    </xf>
    <xf numFmtId="4" fontId="19" fillId="4" borderId="8" xfId="0" applyNumberFormat="1" applyFont="1" applyFill="1" applyBorder="1" applyAlignment="1">
      <alignment horizontal="right" vertical="center" wrapText="1"/>
    </xf>
    <xf numFmtId="4" fontId="19" fillId="4" borderId="14" xfId="0" applyNumberFormat="1" applyFont="1" applyFill="1" applyBorder="1" applyAlignment="1">
      <alignment horizontal="right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" fontId="2" fillId="4" borderId="28" xfId="0" applyNumberFormat="1" applyFont="1" applyFill="1" applyBorder="1" applyAlignment="1">
      <alignment horizontal="right" vertical="center" wrapText="1"/>
    </xf>
    <xf numFmtId="4" fontId="2" fillId="3" borderId="9" xfId="0" applyNumberFormat="1" applyFont="1" applyFill="1" applyBorder="1" applyAlignment="1">
      <alignment horizontal="right" vertical="center" wrapText="1"/>
    </xf>
    <xf numFmtId="4" fontId="2" fillId="6" borderId="9" xfId="0" applyNumberFormat="1" applyFont="1" applyFill="1" applyBorder="1" applyAlignment="1">
      <alignment horizontal="right" vertical="center" wrapText="1"/>
    </xf>
    <xf numFmtId="4" fontId="2" fillId="2" borderId="9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4" fontId="16" fillId="4" borderId="9" xfId="0" applyNumberFormat="1" applyFont="1" applyFill="1" applyBorder="1" applyAlignment="1">
      <alignment horizontal="right" vertical="center" wrapText="1"/>
    </xf>
    <xf numFmtId="4" fontId="2" fillId="4" borderId="9" xfId="0" applyNumberFormat="1" applyFont="1" applyFill="1" applyBorder="1" applyAlignment="1">
      <alignment horizontal="right" vertical="center" wrapText="1"/>
    </xf>
    <xf numFmtId="4" fontId="18" fillId="4" borderId="9" xfId="0" applyNumberFormat="1" applyFont="1" applyFill="1" applyBorder="1" applyAlignment="1">
      <alignment horizontal="right" vertical="center" wrapText="1"/>
    </xf>
    <xf numFmtId="4" fontId="19" fillId="0" borderId="9" xfId="0" applyNumberFormat="1" applyFont="1" applyFill="1" applyBorder="1" applyAlignment="1">
      <alignment horizontal="right" vertical="center" wrapText="1"/>
    </xf>
    <xf numFmtId="4" fontId="19" fillId="4" borderId="9" xfId="0" applyNumberFormat="1" applyFont="1" applyFill="1" applyBorder="1" applyAlignment="1">
      <alignment horizontal="right" vertical="center" wrapText="1"/>
    </xf>
    <xf numFmtId="4" fontId="18" fillId="4" borderId="6" xfId="0" applyNumberFormat="1" applyFont="1" applyFill="1" applyBorder="1" applyAlignment="1">
      <alignment horizontal="right" vertical="center" wrapText="1"/>
    </xf>
    <xf numFmtId="0" fontId="13" fillId="6" borderId="8" xfId="0" applyNumberFormat="1" applyFont="1" applyFill="1" applyBorder="1" applyAlignment="1" applyProtection="1">
      <alignment horizontal="left" vertical="top" wrapText="1"/>
      <protection/>
    </xf>
    <xf numFmtId="4" fontId="21" fillId="4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4" fontId="0" fillId="3" borderId="0" xfId="0" applyNumberFormat="1" applyFill="1" applyAlignment="1">
      <alignment/>
    </xf>
    <xf numFmtId="4" fontId="0" fillId="4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18" fillId="0" borderId="9" xfId="0" applyNumberFormat="1" applyFont="1" applyFill="1" applyBorder="1" applyAlignment="1">
      <alignment horizontal="right" vertical="center" wrapText="1"/>
    </xf>
    <xf numFmtId="4" fontId="18" fillId="0" borderId="6" xfId="0" applyNumberFormat="1" applyFont="1" applyFill="1" applyBorder="1" applyAlignment="1">
      <alignment horizontal="right" vertical="center" wrapText="1"/>
    </xf>
    <xf numFmtId="4" fontId="19" fillId="4" borderId="6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 wrapText="1"/>
    </xf>
    <xf numFmtId="4" fontId="2" fillId="0" borderId="0" xfId="0" applyNumberFormat="1" applyFont="1" applyFill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left" vertical="top" wrapText="1"/>
    </xf>
    <xf numFmtId="4" fontId="19" fillId="3" borderId="9" xfId="0" applyNumberFormat="1" applyFont="1" applyFill="1" applyBorder="1" applyAlignment="1">
      <alignment horizontal="right" vertical="center" wrapText="1"/>
    </xf>
    <xf numFmtId="4" fontId="19" fillId="3" borderId="6" xfId="0" applyNumberFormat="1" applyFont="1" applyFill="1" applyBorder="1" applyAlignment="1">
      <alignment horizontal="right" vertical="center" wrapText="1"/>
    </xf>
    <xf numFmtId="4" fontId="19" fillId="2" borderId="9" xfId="0" applyNumberFormat="1" applyFont="1" applyFill="1" applyBorder="1" applyAlignment="1">
      <alignment horizontal="right" vertical="center" wrapText="1"/>
    </xf>
    <xf numFmtId="4" fontId="19" fillId="2" borderId="6" xfId="0" applyNumberFormat="1" applyFont="1" applyFill="1" applyBorder="1" applyAlignment="1">
      <alignment horizontal="right" vertical="center" wrapText="1"/>
    </xf>
    <xf numFmtId="4" fontId="19" fillId="0" borderId="6" xfId="0" applyNumberFormat="1" applyFont="1" applyFill="1" applyBorder="1" applyAlignment="1">
      <alignment horizontal="right" vertical="center" wrapText="1"/>
    </xf>
    <xf numFmtId="4" fontId="18" fillId="3" borderId="6" xfId="0" applyNumberFormat="1" applyFont="1" applyFill="1" applyBorder="1" applyAlignment="1">
      <alignment horizontal="right" vertical="center" wrapText="1"/>
    </xf>
    <xf numFmtId="4" fontId="18" fillId="6" borderId="6" xfId="0" applyNumberFormat="1" applyFont="1" applyFill="1" applyBorder="1" applyAlignment="1">
      <alignment horizontal="right" vertical="center" wrapText="1"/>
    </xf>
    <xf numFmtId="4" fontId="18" fillId="2" borderId="6" xfId="0" applyNumberFormat="1" applyFont="1" applyFill="1" applyBorder="1" applyAlignment="1">
      <alignment horizontal="right" vertical="center" wrapText="1"/>
    </xf>
    <xf numFmtId="4" fontId="18" fillId="3" borderId="9" xfId="0" applyNumberFormat="1" applyFont="1" applyFill="1" applyBorder="1" applyAlignment="1">
      <alignment horizontal="right" vertical="center" wrapText="1"/>
    </xf>
    <xf numFmtId="4" fontId="18" fillId="6" borderId="9" xfId="0" applyNumberFormat="1" applyFont="1" applyFill="1" applyBorder="1" applyAlignment="1">
      <alignment horizontal="right" vertical="center" wrapText="1"/>
    </xf>
    <xf numFmtId="4" fontId="18" fillId="2" borderId="9" xfId="0" applyNumberFormat="1" applyFont="1" applyFill="1" applyBorder="1" applyAlignment="1">
      <alignment horizontal="right" vertical="center" wrapText="1"/>
    </xf>
    <xf numFmtId="0" fontId="2" fillId="7" borderId="0" xfId="0" applyFont="1" applyFill="1" applyAlignment="1">
      <alignment vertical="top" wrapText="1"/>
    </xf>
    <xf numFmtId="4" fontId="2" fillId="7" borderId="0" xfId="0" applyNumberFormat="1" applyFont="1" applyFill="1" applyAlignment="1">
      <alignment horizontal="left" vertical="top" wrapText="1"/>
    </xf>
    <xf numFmtId="0" fontId="2" fillId="7" borderId="0" xfId="0" applyFont="1" applyFill="1" applyBorder="1" applyAlignment="1">
      <alignment vertical="top" wrapText="1"/>
    </xf>
    <xf numFmtId="4" fontId="2" fillId="7" borderId="0" xfId="0" applyNumberFormat="1" applyFont="1" applyFill="1" applyBorder="1" applyAlignment="1">
      <alignment horizontal="left" vertical="top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" fontId="2" fillId="4" borderId="31" xfId="0" applyNumberFormat="1" applyFont="1" applyFill="1" applyBorder="1" applyAlignment="1">
      <alignment horizontal="right" vertical="center" wrapText="1"/>
    </xf>
    <xf numFmtId="4" fontId="16" fillId="4" borderId="16" xfId="0" applyNumberFormat="1" applyFont="1" applyFill="1" applyBorder="1" applyAlignment="1">
      <alignment horizontal="right" vertical="center" wrapText="1"/>
    </xf>
    <xf numFmtId="49" fontId="18" fillId="6" borderId="19" xfId="0" applyNumberFormat="1" applyFont="1" applyFill="1" applyBorder="1" applyAlignment="1">
      <alignment horizontal="center" vertical="center" wrapText="1"/>
    </xf>
    <xf numFmtId="4" fontId="2" fillId="3" borderId="32" xfId="0" applyNumberFormat="1" applyFont="1" applyFill="1" applyBorder="1" applyAlignment="1">
      <alignment horizontal="right" vertical="center" wrapText="1"/>
    </xf>
    <xf numFmtId="4" fontId="2" fillId="6" borderId="32" xfId="0" applyNumberFormat="1" applyFont="1" applyFill="1" applyBorder="1" applyAlignment="1">
      <alignment horizontal="right" vertical="center" wrapText="1"/>
    </xf>
    <xf numFmtId="4" fontId="2" fillId="2" borderId="32" xfId="0" applyNumberFormat="1" applyFont="1" applyFill="1" applyBorder="1" applyAlignment="1">
      <alignment horizontal="right" vertical="center" wrapText="1"/>
    </xf>
    <xf numFmtId="4" fontId="2" fillId="0" borderId="32" xfId="0" applyNumberFormat="1" applyFont="1" applyFill="1" applyBorder="1" applyAlignment="1">
      <alignment horizontal="right" vertical="center" wrapText="1"/>
    </xf>
    <xf numFmtId="49" fontId="14" fillId="4" borderId="2" xfId="0" applyNumberFormat="1" applyFont="1" applyFill="1" applyBorder="1" applyAlignment="1">
      <alignment horizontal="left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22" xfId="0" applyNumberFormat="1" applyFont="1" applyFill="1" applyBorder="1" applyAlignment="1">
      <alignment horizontal="center" vertical="center" wrapText="1"/>
    </xf>
    <xf numFmtId="49" fontId="14" fillId="4" borderId="24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2" fillId="4" borderId="3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18" fillId="0" borderId="32" xfId="0" applyNumberFormat="1" applyFont="1" applyFill="1" applyBorder="1" applyAlignment="1">
      <alignment horizontal="center" vertical="center" wrapText="1"/>
    </xf>
    <xf numFmtId="49" fontId="18" fillId="0" borderId="8" xfId="0" applyNumberFormat="1" applyFont="1" applyFill="1" applyBorder="1" applyAlignment="1">
      <alignment horizontal="center" vertical="center" wrapText="1"/>
    </xf>
    <xf numFmtId="49" fontId="18" fillId="0" borderId="19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 applyProtection="1">
      <alignment horizontal="left" vertical="top" wrapText="1"/>
      <protection/>
    </xf>
    <xf numFmtId="0" fontId="13" fillId="0" borderId="8" xfId="0" applyNumberFormat="1" applyFont="1" applyFill="1" applyBorder="1" applyAlignment="1" applyProtection="1">
      <alignment horizontal="left" vertical="top" wrapText="1"/>
      <protection/>
    </xf>
    <xf numFmtId="49" fontId="13" fillId="0" borderId="16" xfId="0" applyNumberFormat="1" applyFont="1" applyFill="1" applyBorder="1" applyAlignment="1">
      <alignment horizontal="left" vertical="center" wrapText="1"/>
    </xf>
    <xf numFmtId="49" fontId="13" fillId="0" borderId="8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righ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49" fontId="2" fillId="3" borderId="32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19" xfId="0" applyNumberFormat="1" applyFont="1" applyFill="1" applyBorder="1" applyAlignment="1">
      <alignment horizontal="center" vertical="center" wrapText="1"/>
    </xf>
    <xf numFmtId="49" fontId="14" fillId="3" borderId="16" xfId="0" applyNumberFormat="1" applyFont="1" applyFill="1" applyBorder="1" applyAlignment="1">
      <alignment horizontal="left" vertical="center" wrapText="1"/>
    </xf>
    <xf numFmtId="49" fontId="14" fillId="3" borderId="8" xfId="0" applyNumberFormat="1" applyFont="1" applyFill="1" applyBorder="1" applyAlignment="1">
      <alignment horizontal="left" vertical="center" wrapText="1"/>
    </xf>
    <xf numFmtId="49" fontId="2" fillId="6" borderId="32" xfId="0" applyNumberFormat="1" applyFont="1" applyFill="1" applyBorder="1" applyAlignment="1">
      <alignment horizontal="center" vertical="center" wrapText="1"/>
    </xf>
    <xf numFmtId="49" fontId="2" fillId="6" borderId="8" xfId="0" applyNumberFormat="1" applyFont="1" applyFill="1" applyBorder="1" applyAlignment="1">
      <alignment horizontal="center" vertical="center" wrapText="1"/>
    </xf>
    <xf numFmtId="49" fontId="14" fillId="6" borderId="16" xfId="0" applyNumberFormat="1" applyFont="1" applyFill="1" applyBorder="1" applyAlignment="1">
      <alignment horizontal="left" vertical="center" wrapText="1"/>
    </xf>
    <xf numFmtId="49" fontId="14" fillId="6" borderId="8" xfId="0" applyNumberFormat="1" applyFont="1" applyFill="1" applyBorder="1" applyAlignment="1">
      <alignment horizontal="left" vertical="center" wrapText="1"/>
    </xf>
    <xf numFmtId="49" fontId="2" fillId="2" borderId="32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49" fontId="14" fillId="2" borderId="16" xfId="0" applyNumberFormat="1" applyFont="1" applyFill="1" applyBorder="1" applyAlignment="1">
      <alignment horizontal="left" vertical="center" wrapText="1"/>
    </xf>
    <xf numFmtId="49" fontId="14" fillId="2" borderId="8" xfId="0" applyNumberFormat="1" applyFont="1" applyFill="1" applyBorder="1" applyAlignment="1">
      <alignment horizontal="left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left" vertical="center" wrapText="1"/>
    </xf>
    <xf numFmtId="49" fontId="14" fillId="0" borderId="8" xfId="0" applyNumberFormat="1" applyFont="1" applyFill="1" applyBorder="1" applyAlignment="1">
      <alignment horizontal="left" vertical="center" wrapText="1"/>
    </xf>
    <xf numFmtId="0" fontId="20" fillId="3" borderId="16" xfId="0" applyNumberFormat="1" applyFont="1" applyFill="1" applyBorder="1" applyAlignment="1" applyProtection="1">
      <alignment horizontal="left" vertical="top" wrapText="1"/>
      <protection/>
    </xf>
    <xf numFmtId="0" fontId="20" fillId="3" borderId="8" xfId="0" applyNumberFormat="1" applyFont="1" applyFill="1" applyBorder="1" applyAlignment="1" applyProtection="1">
      <alignment horizontal="left" vertical="top" wrapText="1"/>
      <protection/>
    </xf>
    <xf numFmtId="49" fontId="16" fillId="2" borderId="32" xfId="0" applyNumberFormat="1" applyFont="1" applyFill="1" applyBorder="1" applyAlignment="1">
      <alignment horizontal="center" vertical="center" wrapText="1"/>
    </xf>
    <xf numFmtId="49" fontId="16" fillId="2" borderId="8" xfId="0" applyNumberFormat="1" applyFont="1" applyFill="1" applyBorder="1" applyAlignment="1">
      <alignment horizontal="center" vertical="center" wrapText="1"/>
    </xf>
    <xf numFmtId="49" fontId="16" fillId="2" borderId="19" xfId="0" applyNumberFormat="1" applyFont="1" applyFill="1" applyBorder="1" applyAlignment="1">
      <alignment horizontal="center" vertical="center" wrapText="1"/>
    </xf>
    <xf numFmtId="0" fontId="20" fillId="2" borderId="16" xfId="0" applyNumberFormat="1" applyFont="1" applyFill="1" applyBorder="1" applyAlignment="1" applyProtection="1">
      <alignment horizontal="left" vertical="top" wrapText="1"/>
      <protection/>
    </xf>
    <xf numFmtId="0" fontId="20" fillId="2" borderId="8" xfId="0" applyNumberFormat="1" applyFont="1" applyFill="1" applyBorder="1" applyAlignment="1" applyProtection="1">
      <alignment horizontal="left" vertical="top" wrapText="1"/>
      <protection/>
    </xf>
    <xf numFmtId="49" fontId="16" fillId="3" borderId="32" xfId="0" applyNumberFormat="1" applyFont="1" applyFill="1" applyBorder="1" applyAlignment="1">
      <alignment horizontal="center" vertical="center" wrapText="1"/>
    </xf>
    <xf numFmtId="49" fontId="16" fillId="3" borderId="8" xfId="0" applyNumberFormat="1" applyFont="1" applyFill="1" applyBorder="1" applyAlignment="1">
      <alignment horizontal="center" vertical="center" wrapText="1"/>
    </xf>
    <xf numFmtId="49" fontId="16" fillId="3" borderId="19" xfId="0" applyNumberFormat="1" applyFont="1" applyFill="1" applyBorder="1" applyAlignment="1">
      <alignment horizontal="center" vertical="center" wrapText="1"/>
    </xf>
    <xf numFmtId="49" fontId="16" fillId="0" borderId="32" xfId="0" applyNumberFormat="1" applyFont="1" applyFill="1" applyBorder="1" applyAlignment="1">
      <alignment horizontal="center" vertical="center" wrapText="1"/>
    </xf>
    <xf numFmtId="49" fontId="16" fillId="0" borderId="8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left" vertical="top" wrapText="1"/>
      <protection/>
    </xf>
    <xf numFmtId="0" fontId="20" fillId="0" borderId="8" xfId="0" applyNumberFormat="1" applyFont="1" applyFill="1" applyBorder="1" applyAlignment="1" applyProtection="1">
      <alignment horizontal="left" vertical="top" wrapText="1"/>
      <protection/>
    </xf>
    <xf numFmtId="49" fontId="20" fillId="0" borderId="16" xfId="0" applyNumberFormat="1" applyFont="1" applyFill="1" applyBorder="1" applyAlignment="1">
      <alignment horizontal="left" vertical="center" wrapText="1"/>
    </xf>
    <xf numFmtId="49" fontId="20" fillId="0" borderId="8" xfId="0" applyNumberFormat="1" applyFont="1" applyFill="1" applyBorder="1" applyAlignment="1">
      <alignment horizontal="left" vertical="center" wrapText="1"/>
    </xf>
    <xf numFmtId="49" fontId="2" fillId="6" borderId="19" xfId="0" applyNumberFormat="1" applyFont="1" applyFill="1" applyBorder="1" applyAlignment="1">
      <alignment horizontal="center" vertical="center" wrapText="1"/>
    </xf>
    <xf numFmtId="49" fontId="13" fillId="6" borderId="16" xfId="0" applyNumberFormat="1" applyFont="1" applyFill="1" applyBorder="1" applyAlignment="1">
      <alignment horizontal="left" vertical="center" wrapText="1"/>
    </xf>
    <xf numFmtId="49" fontId="13" fillId="6" borderId="8" xfId="0" applyNumberFormat="1" applyFont="1" applyFill="1" applyBorder="1" applyAlignment="1">
      <alignment horizontal="left" vertical="center" wrapText="1"/>
    </xf>
    <xf numFmtId="49" fontId="13" fillId="2" borderId="16" xfId="0" applyNumberFormat="1" applyFont="1" applyFill="1" applyBorder="1" applyAlignment="1">
      <alignment horizontal="left" vertical="center" wrapText="1"/>
    </xf>
    <xf numFmtId="49" fontId="13" fillId="2" borderId="8" xfId="0" applyNumberFormat="1" applyFont="1" applyFill="1" applyBorder="1" applyAlignment="1">
      <alignment horizontal="left" vertical="center" wrapText="1"/>
    </xf>
    <xf numFmtId="49" fontId="18" fillId="2" borderId="32" xfId="0" applyNumberFormat="1" applyFont="1" applyFill="1" applyBorder="1" applyAlignment="1">
      <alignment horizontal="center" vertical="center" wrapText="1"/>
    </xf>
    <xf numFmtId="49" fontId="18" fillId="2" borderId="8" xfId="0" applyNumberFormat="1" applyFont="1" applyFill="1" applyBorder="1" applyAlignment="1">
      <alignment horizontal="center" vertical="center" wrapText="1"/>
    </xf>
    <xf numFmtId="49" fontId="18" fillId="2" borderId="19" xfId="0" applyNumberFormat="1" applyFont="1" applyFill="1" applyBorder="1" applyAlignment="1">
      <alignment horizontal="center" vertical="center" wrapText="1"/>
    </xf>
    <xf numFmtId="49" fontId="18" fillId="6" borderId="32" xfId="0" applyNumberFormat="1" applyFont="1" applyFill="1" applyBorder="1" applyAlignment="1">
      <alignment horizontal="center" vertical="center" wrapText="1"/>
    </xf>
    <xf numFmtId="49" fontId="18" fillId="6" borderId="8" xfId="0" applyNumberFormat="1" applyFont="1" applyFill="1" applyBorder="1" applyAlignment="1">
      <alignment horizontal="center" vertical="center" wrapText="1"/>
    </xf>
    <xf numFmtId="49" fontId="13" fillId="2" borderId="9" xfId="0" applyNumberFormat="1" applyFont="1" applyFill="1" applyBorder="1" applyAlignment="1">
      <alignment horizontal="left" vertical="center" wrapText="1"/>
    </xf>
    <xf numFmtId="0" fontId="13" fillId="6" borderId="16" xfId="0" applyNumberFormat="1" applyFont="1" applyFill="1" applyBorder="1" applyAlignment="1" applyProtection="1">
      <alignment horizontal="left" vertical="top" wrapText="1"/>
      <protection/>
    </xf>
    <xf numFmtId="0" fontId="13" fillId="6" borderId="8" xfId="0" applyNumberFormat="1" applyFont="1" applyFill="1" applyBorder="1" applyAlignment="1" applyProtection="1">
      <alignment horizontal="left" vertical="top" wrapText="1"/>
      <protection/>
    </xf>
    <xf numFmtId="0" fontId="13" fillId="3" borderId="16" xfId="0" applyNumberFormat="1" applyFont="1" applyFill="1" applyBorder="1" applyAlignment="1" applyProtection="1">
      <alignment horizontal="left" vertical="top" wrapText="1"/>
      <protection/>
    </xf>
    <xf numFmtId="0" fontId="13" fillId="3" borderId="8" xfId="0" applyNumberFormat="1" applyFont="1" applyFill="1" applyBorder="1" applyAlignment="1" applyProtection="1">
      <alignment horizontal="left" vertical="top" wrapText="1"/>
      <protection/>
    </xf>
    <xf numFmtId="0" fontId="13" fillId="2" borderId="16" xfId="0" applyNumberFormat="1" applyFont="1" applyFill="1" applyBorder="1" applyAlignment="1" applyProtection="1">
      <alignment horizontal="left" vertical="top" wrapText="1"/>
      <protection/>
    </xf>
    <xf numFmtId="0" fontId="13" fillId="2" borderId="8" xfId="0" applyNumberFormat="1" applyFont="1" applyFill="1" applyBorder="1" applyAlignment="1" applyProtection="1">
      <alignment horizontal="left" vertical="top" wrapText="1"/>
      <protection/>
    </xf>
    <xf numFmtId="49" fontId="10" fillId="3" borderId="32" xfId="0" applyNumberFormat="1" applyFont="1" applyFill="1" applyBorder="1" applyAlignment="1">
      <alignment horizontal="center" vertical="center" wrapText="1"/>
    </xf>
    <xf numFmtId="49" fontId="10" fillId="3" borderId="8" xfId="0" applyNumberFormat="1" applyFont="1" applyFill="1" applyBorder="1" applyAlignment="1">
      <alignment horizontal="center" vertical="center" wrapText="1"/>
    </xf>
    <xf numFmtId="49" fontId="10" fillId="3" borderId="19" xfId="0" applyNumberFormat="1" applyFont="1" applyFill="1" applyBorder="1" applyAlignment="1">
      <alignment horizontal="center" vertical="center" wrapText="1"/>
    </xf>
    <xf numFmtId="49" fontId="10" fillId="3" borderId="16" xfId="0" applyNumberFormat="1" applyFont="1" applyFill="1" applyBorder="1" applyAlignment="1">
      <alignment horizontal="left" vertical="center" wrapText="1"/>
    </xf>
    <xf numFmtId="49" fontId="10" fillId="3" borderId="8" xfId="0" applyNumberFormat="1" applyFont="1" applyFill="1" applyBorder="1" applyAlignment="1">
      <alignment horizontal="left" vertical="center" wrapText="1"/>
    </xf>
    <xf numFmtId="49" fontId="10" fillId="2" borderId="16" xfId="0" applyNumberFormat="1" applyFont="1" applyFill="1" applyBorder="1" applyAlignment="1">
      <alignment horizontal="left" vertical="center" wrapText="1"/>
    </xf>
    <xf numFmtId="49" fontId="10" fillId="2" borderId="8" xfId="0" applyNumberFormat="1" applyFont="1" applyFill="1" applyBorder="1" applyAlignment="1">
      <alignment horizontal="left" vertical="center" wrapText="1"/>
    </xf>
    <xf numFmtId="49" fontId="10" fillId="2" borderId="32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10" fillId="0" borderId="32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left" vertical="center" wrapText="1"/>
    </xf>
    <xf numFmtId="49" fontId="10" fillId="0" borderId="8" xfId="0" applyNumberFormat="1" applyFont="1" applyFill="1" applyBorder="1" applyAlignment="1">
      <alignment horizontal="left" vertical="center" wrapText="1"/>
    </xf>
    <xf numFmtId="0" fontId="13" fillId="6" borderId="16" xfId="0" applyNumberFormat="1" applyFont="1" applyFill="1" applyBorder="1" applyAlignment="1" applyProtection="1">
      <alignment horizontal="left" vertical="center" wrapText="1"/>
      <protection/>
    </xf>
    <xf numFmtId="0" fontId="13" fillId="6" borderId="8" xfId="0" applyNumberFormat="1" applyFont="1" applyFill="1" applyBorder="1" applyAlignment="1" applyProtection="1">
      <alignment horizontal="left" vertical="center" wrapText="1"/>
      <protection/>
    </xf>
    <xf numFmtId="0" fontId="13" fillId="6" borderId="9" xfId="0" applyNumberFormat="1" applyFont="1" applyFill="1" applyBorder="1" applyAlignment="1" applyProtection="1">
      <alignment horizontal="left" vertical="center" wrapText="1"/>
      <protection/>
    </xf>
    <xf numFmtId="0" fontId="13" fillId="2" borderId="16" xfId="0" applyNumberFormat="1" applyFont="1" applyFill="1" applyBorder="1" applyAlignment="1" applyProtection="1">
      <alignment horizontal="left" vertical="center" wrapText="1"/>
      <protection/>
    </xf>
    <xf numFmtId="0" fontId="13" fillId="2" borderId="8" xfId="0" applyNumberFormat="1" applyFont="1" applyFill="1" applyBorder="1" applyAlignment="1" applyProtection="1">
      <alignment horizontal="left" vertical="center" wrapText="1"/>
      <protection/>
    </xf>
    <xf numFmtId="0" fontId="13" fillId="2" borderId="9" xfId="0" applyNumberFormat="1" applyFont="1" applyFill="1" applyBorder="1" applyAlignment="1" applyProtection="1">
      <alignment horizontal="left" vertical="center" wrapText="1"/>
      <protection/>
    </xf>
    <xf numFmtId="49" fontId="14" fillId="0" borderId="9" xfId="0" applyNumberFormat="1" applyFont="1" applyFill="1" applyBorder="1" applyAlignment="1">
      <alignment horizontal="left" vertical="center" wrapText="1"/>
    </xf>
    <xf numFmtId="49" fontId="14" fillId="6" borderId="9" xfId="0" applyNumberFormat="1" applyFont="1" applyFill="1" applyBorder="1" applyAlignment="1">
      <alignment horizontal="left" vertical="center" wrapText="1"/>
    </xf>
    <xf numFmtId="49" fontId="14" fillId="2" borderId="9" xfId="0" applyNumberFormat="1" applyFont="1" applyFill="1" applyBorder="1" applyAlignment="1">
      <alignment horizontal="left" vertical="center" wrapText="1"/>
    </xf>
    <xf numFmtId="49" fontId="20" fillId="2" borderId="16" xfId="0" applyNumberFormat="1" applyFont="1" applyFill="1" applyBorder="1" applyAlignment="1">
      <alignment horizontal="left" vertical="center" wrapText="1"/>
    </xf>
    <xf numFmtId="0" fontId="13" fillId="3" borderId="16" xfId="0" applyNumberFormat="1" applyFont="1" applyFill="1" applyBorder="1" applyAlignment="1" applyProtection="1">
      <alignment horizontal="left" vertical="top"/>
      <protection/>
    </xf>
    <xf numFmtId="0" fontId="13" fillId="3" borderId="8" xfId="0" applyNumberFormat="1" applyFont="1" applyFill="1" applyBorder="1" applyAlignment="1" applyProtection="1">
      <alignment horizontal="left" vertical="top"/>
      <protection/>
    </xf>
    <xf numFmtId="49" fontId="2" fillId="3" borderId="16" xfId="0" applyNumberFormat="1" applyFont="1" applyFill="1" applyBorder="1" applyAlignment="1">
      <alignment horizontal="left" vertical="center" wrapText="1"/>
    </xf>
    <xf numFmtId="49" fontId="2" fillId="3" borderId="8" xfId="0" applyNumberFormat="1" applyFont="1" applyFill="1" applyBorder="1" applyAlignment="1">
      <alignment horizontal="left" vertical="center" wrapText="1"/>
    </xf>
    <xf numFmtId="49" fontId="2" fillId="2" borderId="16" xfId="0" applyNumberFormat="1" applyFont="1" applyFill="1" applyBorder="1" applyAlignment="1">
      <alignment horizontal="left" vertical="center" wrapText="1"/>
    </xf>
    <xf numFmtId="49" fontId="2" fillId="2" borderId="8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13" fillId="0" borderId="16" xfId="0" applyNumberFormat="1" applyFont="1" applyFill="1" applyBorder="1" applyAlignment="1" applyProtection="1">
      <alignment horizontal="left" vertical="top" wrapText="1"/>
      <protection/>
    </xf>
    <xf numFmtId="0" fontId="13" fillId="0" borderId="8" xfId="0" applyNumberFormat="1" applyFont="1" applyFill="1" applyBorder="1" applyAlignment="1" applyProtection="1">
      <alignment horizontal="left" vertical="top" wrapText="1"/>
      <protection/>
    </xf>
    <xf numFmtId="0" fontId="8" fillId="0" borderId="25" xfId="0" applyNumberFormat="1" applyFont="1" applyFill="1" applyBorder="1" applyAlignment="1" applyProtection="1">
      <alignment horizontal="left" vertical="top" wrapText="1"/>
      <protection/>
    </xf>
    <xf numFmtId="0" fontId="8" fillId="0" borderId="47" xfId="0" applyNumberFormat="1" applyFont="1" applyFill="1" applyBorder="1" applyAlignment="1" applyProtection="1">
      <alignment horizontal="left" vertical="top" wrapText="1"/>
      <protection/>
    </xf>
    <xf numFmtId="49" fontId="3" fillId="0" borderId="27" xfId="0" applyNumberFormat="1" applyFont="1" applyFill="1" applyBorder="1" applyAlignment="1">
      <alignment horizontal="left" vertical="center" wrapText="1"/>
    </xf>
    <xf numFmtId="49" fontId="3" fillId="0" borderId="35" xfId="0" applyNumberFormat="1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 vertical="top" wrapText="1"/>
    </xf>
    <xf numFmtId="14" fontId="6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4"/>
  <sheetViews>
    <sheetView zoomScale="85" zoomScaleNormal="85" workbookViewId="0" topLeftCell="B1">
      <selection activeCell="R13" sqref="R13:X14"/>
    </sheetView>
  </sheetViews>
  <sheetFormatPr defaultColWidth="9.00390625" defaultRowHeight="12.75"/>
  <cols>
    <col min="1" max="1" width="7.00390625" style="1" customWidth="1"/>
    <col min="2" max="2" width="5.75390625" style="1" customWidth="1"/>
    <col min="3" max="3" width="3.75390625" style="1" customWidth="1"/>
    <col min="4" max="4" width="0.12890625" style="1" customWidth="1"/>
    <col min="5" max="5" width="3.125" style="1" customWidth="1"/>
    <col min="6" max="6" width="0.2421875" style="1" customWidth="1"/>
    <col min="7" max="7" width="10.75390625" style="1" customWidth="1"/>
    <col min="8" max="8" width="11.75390625" style="1" customWidth="1"/>
    <col min="9" max="9" width="0.12890625" style="1" customWidth="1"/>
    <col min="10" max="10" width="3.75390625" style="1" customWidth="1"/>
    <col min="11" max="11" width="15.75390625" style="1" customWidth="1"/>
    <col min="12" max="12" width="3.75390625" style="1" customWidth="1"/>
    <col min="13" max="13" width="4.75390625" style="1" customWidth="1"/>
    <col min="14" max="14" width="1.12109375" style="1" customWidth="1"/>
    <col min="15" max="15" width="1.75390625" style="1" customWidth="1"/>
    <col min="16" max="16" width="0.2421875" style="1" customWidth="1"/>
    <col min="17" max="17" width="2.00390625" style="1" hidden="1" customWidth="1"/>
    <col min="18" max="18" width="13.625" style="1" customWidth="1"/>
    <col min="19" max="19" width="12.25390625" style="1" customWidth="1"/>
    <col min="20" max="20" width="13.875" style="1" customWidth="1"/>
    <col min="21" max="22" width="12.25390625" style="1" customWidth="1"/>
    <col min="23" max="23" width="13.375" style="1" customWidth="1"/>
    <col min="24" max="24" width="13.625" style="1" customWidth="1"/>
    <col min="25" max="16384" width="9.125" style="1" customWidth="1"/>
  </cols>
  <sheetData>
    <row r="1" spans="1:24" ht="19.5" customHeight="1" thickBo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40"/>
      <c r="X1" s="40"/>
    </row>
    <row r="2" spans="1:24" ht="14.25" customHeight="1" thickBot="1">
      <c r="A2" s="89"/>
      <c r="B2" s="89"/>
      <c r="C2" s="89"/>
      <c r="D2" s="89"/>
      <c r="E2" s="89"/>
      <c r="F2" s="89"/>
      <c r="G2" s="89"/>
      <c r="H2" s="89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4" t="s">
        <v>1</v>
      </c>
      <c r="W2" s="63"/>
      <c r="X2" s="63"/>
    </row>
    <row r="3" spans="1:24" ht="18" customHeight="1">
      <c r="A3" s="178" t="s">
        <v>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9" t="s">
        <v>185</v>
      </c>
      <c r="M3" s="179"/>
      <c r="N3" s="179"/>
      <c r="O3" s="177" t="s">
        <v>3</v>
      </c>
      <c r="P3" s="177"/>
      <c r="Q3" s="7"/>
      <c r="R3" s="7"/>
      <c r="S3" s="7"/>
      <c r="T3" s="7"/>
      <c r="U3" s="8" t="s">
        <v>4</v>
      </c>
      <c r="V3" s="15" t="s">
        <v>102</v>
      </c>
      <c r="W3" s="83"/>
      <c r="X3" s="83"/>
    </row>
    <row r="4" spans="1:24" ht="24.7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180" t="s">
        <v>186</v>
      </c>
      <c r="L4" s="180"/>
      <c r="M4" s="180"/>
      <c r="N4" s="180"/>
      <c r="O4" s="180"/>
      <c r="P4" s="180"/>
      <c r="Q4" s="180"/>
      <c r="R4" s="11"/>
      <c r="S4" s="11"/>
      <c r="T4" s="11"/>
      <c r="U4" s="8" t="s">
        <v>5</v>
      </c>
      <c r="V4" s="93">
        <v>40909</v>
      </c>
      <c r="W4" s="83"/>
      <c r="X4" s="83"/>
    </row>
    <row r="5" spans="1:24" ht="18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9"/>
      <c r="V5" s="16"/>
      <c r="W5" s="84"/>
      <c r="X5" s="84"/>
    </row>
    <row r="6" spans="1:24" ht="18.75" customHeight="1">
      <c r="A6" s="181" t="s">
        <v>6</v>
      </c>
      <c r="B6" s="181"/>
      <c r="C6" s="181"/>
      <c r="D6" s="181"/>
      <c r="E6" s="181"/>
      <c r="F6" s="182" t="s">
        <v>68</v>
      </c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9"/>
      <c r="T6" s="19"/>
      <c r="U6" s="23" t="s">
        <v>7</v>
      </c>
      <c r="V6" s="17">
        <v>79546239</v>
      </c>
      <c r="W6" s="84"/>
      <c r="X6" s="84"/>
    </row>
    <row r="7" spans="1:24" ht="15.75" customHeight="1">
      <c r="A7" s="181" t="s">
        <v>8</v>
      </c>
      <c r="B7" s="181"/>
      <c r="C7" s="181"/>
      <c r="D7" s="181"/>
      <c r="E7" s="181"/>
      <c r="F7" s="181"/>
      <c r="G7" s="181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20"/>
      <c r="U7" s="21" t="s">
        <v>9</v>
      </c>
      <c r="V7" s="17"/>
      <c r="W7" s="84"/>
      <c r="X7" s="84"/>
    </row>
    <row r="8" spans="1:24" ht="15.75" customHeight="1">
      <c r="A8" s="181" t="s">
        <v>10</v>
      </c>
      <c r="B8" s="181"/>
      <c r="C8" s="181"/>
      <c r="D8" s="181"/>
      <c r="E8" s="181"/>
      <c r="F8" s="181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22"/>
      <c r="V8" s="17"/>
      <c r="W8" s="84"/>
      <c r="X8" s="84"/>
    </row>
    <row r="9" spans="1:24" ht="13.5" customHeight="1" thickBot="1">
      <c r="A9" s="181" t="s">
        <v>11</v>
      </c>
      <c r="B9" s="181"/>
      <c r="C9" s="181"/>
      <c r="D9" s="181"/>
      <c r="E9" s="181"/>
      <c r="F9" s="181"/>
      <c r="G9" s="181"/>
      <c r="H9" s="181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24" t="s">
        <v>12</v>
      </c>
      <c r="V9" s="18" t="s">
        <v>13</v>
      </c>
      <c r="W9" s="83"/>
      <c r="X9" s="83"/>
    </row>
    <row r="10" spans="1:24" ht="8.25" customHeight="1">
      <c r="A10" s="10" t="s">
        <v>69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6.5" customHeight="1">
      <c r="A11" s="184" t="s">
        <v>14</v>
      </c>
      <c r="B11" s="184"/>
      <c r="C11" s="184"/>
      <c r="D11" s="11"/>
      <c r="E11" s="11"/>
      <c r="F11" s="11"/>
      <c r="G11" s="185" t="s">
        <v>187</v>
      </c>
      <c r="H11" s="185"/>
      <c r="I11" s="185"/>
      <c r="J11" s="185"/>
      <c r="K11" s="185"/>
      <c r="L11" s="185"/>
      <c r="M11" s="185"/>
      <c r="N11" s="185"/>
      <c r="O11" s="185"/>
      <c r="P11" s="185"/>
      <c r="Q11" s="11"/>
      <c r="R11" s="11"/>
      <c r="S11" s="96"/>
      <c r="T11" s="11"/>
      <c r="U11" s="11"/>
      <c r="V11" s="11"/>
      <c r="W11" s="11"/>
      <c r="X11" s="11"/>
    </row>
    <row r="12" spans="1:24" ht="6.75" customHeight="1" thickBot="1">
      <c r="A12" s="186" t="s">
        <v>69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41"/>
      <c r="X12" s="41"/>
    </row>
    <row r="13" spans="1:24" ht="18" customHeight="1">
      <c r="A13" s="187" t="s">
        <v>15</v>
      </c>
      <c r="B13" s="188"/>
      <c r="C13" s="188"/>
      <c r="D13" s="188"/>
      <c r="E13" s="188"/>
      <c r="F13" s="189"/>
      <c r="G13" s="193" t="s">
        <v>16</v>
      </c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7" t="s">
        <v>89</v>
      </c>
      <c r="S13" s="195" t="s">
        <v>17</v>
      </c>
      <c r="T13" s="196"/>
      <c r="U13" s="196"/>
      <c r="V13" s="196"/>
      <c r="W13" s="197" t="s">
        <v>167</v>
      </c>
      <c r="X13" s="199" t="s">
        <v>436</v>
      </c>
    </row>
    <row r="14" spans="1:24" ht="16.5" customHeight="1" thickBot="1">
      <c r="A14" s="190"/>
      <c r="B14" s="191"/>
      <c r="C14" s="191"/>
      <c r="D14" s="191"/>
      <c r="E14" s="191"/>
      <c r="F14" s="192"/>
      <c r="G14" s="194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0"/>
      <c r="S14" s="26" t="s">
        <v>18</v>
      </c>
      <c r="T14" s="27" t="s">
        <v>19</v>
      </c>
      <c r="U14" s="28" t="s">
        <v>20</v>
      </c>
      <c r="V14" s="28" t="s">
        <v>21</v>
      </c>
      <c r="W14" s="198"/>
      <c r="X14" s="166"/>
    </row>
    <row r="15" spans="1:24" ht="15.75" customHeight="1" thickBot="1">
      <c r="A15" s="167" t="s">
        <v>22</v>
      </c>
      <c r="B15" s="168"/>
      <c r="C15" s="168"/>
      <c r="D15" s="168"/>
      <c r="E15" s="168"/>
      <c r="F15" s="169"/>
      <c r="G15" s="164" t="s">
        <v>23</v>
      </c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61" t="s">
        <v>24</v>
      </c>
      <c r="S15" s="50" t="s">
        <v>25</v>
      </c>
      <c r="T15" s="151" t="s">
        <v>26</v>
      </c>
      <c r="U15" s="152" t="s">
        <v>27</v>
      </c>
      <c r="V15" s="39" t="s">
        <v>28</v>
      </c>
      <c r="W15" s="46" t="s">
        <v>83</v>
      </c>
      <c r="X15" s="112" t="s">
        <v>84</v>
      </c>
    </row>
    <row r="16" spans="1:24" s="5" customFormat="1" ht="16.5" customHeight="1">
      <c r="A16" s="165" t="s">
        <v>110</v>
      </c>
      <c r="B16" s="161"/>
      <c r="C16" s="161"/>
      <c r="D16" s="161"/>
      <c r="E16" s="161"/>
      <c r="F16" s="162"/>
      <c r="G16" s="163" t="s">
        <v>29</v>
      </c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52">
        <f aca="true" t="shared" si="0" ref="R16:X16">R17+R25+R50+R56+R62+R88+R186+R202+R246+R258+R270+R283+R131+R169+R179+R120</f>
        <v>19698000</v>
      </c>
      <c r="S16" s="153">
        <f t="shared" si="0"/>
        <v>6589086</v>
      </c>
      <c r="T16" s="33">
        <f t="shared" si="0"/>
        <v>5850210</v>
      </c>
      <c r="U16" s="33">
        <f t="shared" si="0"/>
        <v>4288661</v>
      </c>
      <c r="V16" s="153">
        <f t="shared" si="0"/>
        <v>2970043</v>
      </c>
      <c r="W16" s="52">
        <f t="shared" si="0"/>
        <v>20895700</v>
      </c>
      <c r="X16" s="113">
        <f t="shared" si="0"/>
        <v>21942100</v>
      </c>
    </row>
    <row r="17" spans="1:24" s="4" customFormat="1" ht="24.75" customHeight="1">
      <c r="A17" s="200" t="s">
        <v>111</v>
      </c>
      <c r="B17" s="201"/>
      <c r="C17" s="201"/>
      <c r="D17" s="201"/>
      <c r="E17" s="201"/>
      <c r="F17" s="202"/>
      <c r="G17" s="203" t="s">
        <v>30</v>
      </c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38">
        <f>R18</f>
        <v>1057600</v>
      </c>
      <c r="S17" s="64">
        <f aca="true" t="shared" si="1" ref="S17:X21">S18</f>
        <v>549000</v>
      </c>
      <c r="T17" s="30">
        <f t="shared" si="1"/>
        <v>181000</v>
      </c>
      <c r="U17" s="30">
        <f t="shared" si="1"/>
        <v>169000</v>
      </c>
      <c r="V17" s="64">
        <f t="shared" si="1"/>
        <v>158600</v>
      </c>
      <c r="W17" s="38">
        <f t="shared" si="1"/>
        <v>1096800</v>
      </c>
      <c r="X17" s="114">
        <f t="shared" si="1"/>
        <v>1123000</v>
      </c>
    </row>
    <row r="18" spans="1:24" s="49" customFormat="1" ht="23.25" customHeight="1">
      <c r="A18" s="205" t="s">
        <v>112</v>
      </c>
      <c r="B18" s="206"/>
      <c r="C18" s="206"/>
      <c r="D18" s="206"/>
      <c r="E18" s="206"/>
      <c r="F18" s="47"/>
      <c r="G18" s="207" t="s">
        <v>85</v>
      </c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53">
        <f>R19</f>
        <v>1057600</v>
      </c>
      <c r="S18" s="88">
        <f t="shared" si="1"/>
        <v>549000</v>
      </c>
      <c r="T18" s="51">
        <f t="shared" si="1"/>
        <v>181000</v>
      </c>
      <c r="U18" s="51">
        <f t="shared" si="1"/>
        <v>169000</v>
      </c>
      <c r="V18" s="88">
        <f t="shared" si="1"/>
        <v>158600</v>
      </c>
      <c r="W18" s="53">
        <f t="shared" si="1"/>
        <v>1096800</v>
      </c>
      <c r="X18" s="115">
        <f t="shared" si="1"/>
        <v>1123000</v>
      </c>
    </row>
    <row r="19" spans="1:24" s="3" customFormat="1" ht="12.75">
      <c r="A19" s="209" t="s">
        <v>113</v>
      </c>
      <c r="B19" s="210"/>
      <c r="C19" s="210"/>
      <c r="D19" s="210"/>
      <c r="E19" s="210"/>
      <c r="F19" s="211"/>
      <c r="G19" s="212" t="s">
        <v>31</v>
      </c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54">
        <f>R20</f>
        <v>1057600</v>
      </c>
      <c r="S19" s="90">
        <f t="shared" si="1"/>
        <v>549000</v>
      </c>
      <c r="T19" s="31">
        <f t="shared" si="1"/>
        <v>181000</v>
      </c>
      <c r="U19" s="31">
        <f t="shared" si="1"/>
        <v>169000</v>
      </c>
      <c r="V19" s="90">
        <f t="shared" si="1"/>
        <v>158600</v>
      </c>
      <c r="W19" s="54">
        <f t="shared" si="1"/>
        <v>1096800</v>
      </c>
      <c r="X19" s="116">
        <f t="shared" si="1"/>
        <v>1123000</v>
      </c>
    </row>
    <row r="20" spans="1:24" ht="48.75" customHeight="1">
      <c r="A20" s="214" t="s">
        <v>220</v>
      </c>
      <c r="B20" s="215"/>
      <c r="C20" s="215"/>
      <c r="D20" s="215"/>
      <c r="E20" s="215"/>
      <c r="F20" s="216"/>
      <c r="G20" s="217" t="s">
        <v>221</v>
      </c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55">
        <f>R21</f>
        <v>1057600</v>
      </c>
      <c r="S20" s="65">
        <f t="shared" si="1"/>
        <v>549000</v>
      </c>
      <c r="T20" s="32">
        <f t="shared" si="1"/>
        <v>181000</v>
      </c>
      <c r="U20" s="32">
        <f t="shared" si="1"/>
        <v>169000</v>
      </c>
      <c r="V20" s="65">
        <f t="shared" si="1"/>
        <v>158600</v>
      </c>
      <c r="W20" s="55">
        <f t="shared" si="1"/>
        <v>1096800</v>
      </c>
      <c r="X20" s="117">
        <f t="shared" si="1"/>
        <v>1123000</v>
      </c>
    </row>
    <row r="21" spans="1:24" ht="24" customHeight="1">
      <c r="A21" s="214" t="s">
        <v>417</v>
      </c>
      <c r="B21" s="215"/>
      <c r="C21" s="215"/>
      <c r="D21" s="215"/>
      <c r="E21" s="215"/>
      <c r="F21" s="216"/>
      <c r="G21" s="217" t="s">
        <v>222</v>
      </c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55">
        <f>R22</f>
        <v>1057600</v>
      </c>
      <c r="S21" s="65">
        <f t="shared" si="1"/>
        <v>549000</v>
      </c>
      <c r="T21" s="32">
        <f t="shared" si="1"/>
        <v>181000</v>
      </c>
      <c r="U21" s="32">
        <f t="shared" si="1"/>
        <v>169000</v>
      </c>
      <c r="V21" s="65">
        <f t="shared" si="1"/>
        <v>158600</v>
      </c>
      <c r="W21" s="55">
        <f t="shared" si="1"/>
        <v>1096800</v>
      </c>
      <c r="X21" s="117">
        <f t="shared" si="1"/>
        <v>1123000</v>
      </c>
    </row>
    <row r="22" spans="1:24" ht="12.75">
      <c r="A22" s="214" t="s">
        <v>418</v>
      </c>
      <c r="B22" s="215"/>
      <c r="C22" s="215"/>
      <c r="D22" s="215"/>
      <c r="E22" s="215"/>
      <c r="F22" s="216"/>
      <c r="G22" s="217" t="s">
        <v>225</v>
      </c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55">
        <f>R23+R24</f>
        <v>1057600</v>
      </c>
      <c r="S22" s="65">
        <f aca="true" t="shared" si="2" ref="S22:X22">S23+S24</f>
        <v>549000</v>
      </c>
      <c r="T22" s="32">
        <f t="shared" si="2"/>
        <v>181000</v>
      </c>
      <c r="U22" s="32">
        <f t="shared" si="2"/>
        <v>169000</v>
      </c>
      <c r="V22" s="65">
        <f t="shared" si="2"/>
        <v>158600</v>
      </c>
      <c r="W22" s="55">
        <f t="shared" si="2"/>
        <v>1096800</v>
      </c>
      <c r="X22" s="117">
        <f t="shared" si="2"/>
        <v>1123000</v>
      </c>
    </row>
    <row r="23" spans="1:24" ht="12.75" hidden="1">
      <c r="A23" s="214" t="s">
        <v>223</v>
      </c>
      <c r="B23" s="215"/>
      <c r="C23" s="215"/>
      <c r="D23" s="215"/>
      <c r="E23" s="215"/>
      <c r="F23" s="216"/>
      <c r="G23" s="217" t="s">
        <v>33</v>
      </c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56">
        <f>SUM(S23:V23)</f>
        <v>846100</v>
      </c>
      <c r="S23" s="102">
        <v>422000</v>
      </c>
      <c r="T23" s="103">
        <v>139000</v>
      </c>
      <c r="U23" s="103">
        <v>139000</v>
      </c>
      <c r="V23" s="102">
        <v>146100</v>
      </c>
      <c r="W23" s="123">
        <v>877400</v>
      </c>
      <c r="X23" s="120">
        <v>898400</v>
      </c>
    </row>
    <row r="24" spans="1:24" ht="12.75" hidden="1">
      <c r="A24" s="214" t="s">
        <v>224</v>
      </c>
      <c r="B24" s="215"/>
      <c r="C24" s="215"/>
      <c r="D24" s="215"/>
      <c r="E24" s="215"/>
      <c r="F24" s="216"/>
      <c r="G24" s="217" t="s">
        <v>34</v>
      </c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56">
        <f>SUM(S24:V24)</f>
        <v>211500</v>
      </c>
      <c r="S24" s="102">
        <v>127000</v>
      </c>
      <c r="T24" s="103">
        <v>42000</v>
      </c>
      <c r="U24" s="103">
        <v>30000</v>
      </c>
      <c r="V24" s="102">
        <v>12500</v>
      </c>
      <c r="W24" s="123">
        <v>219400</v>
      </c>
      <c r="X24" s="120">
        <v>224600</v>
      </c>
    </row>
    <row r="25" spans="1:24" s="4" customFormat="1" ht="35.25" customHeight="1">
      <c r="A25" s="200" t="s">
        <v>114</v>
      </c>
      <c r="B25" s="201"/>
      <c r="C25" s="201"/>
      <c r="D25" s="201"/>
      <c r="E25" s="201"/>
      <c r="F25" s="202"/>
      <c r="G25" s="203" t="s">
        <v>35</v>
      </c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38">
        <f>R27</f>
        <v>7116700</v>
      </c>
      <c r="S25" s="64">
        <f aca="true" t="shared" si="3" ref="S25:X25">S27</f>
        <v>2619073</v>
      </c>
      <c r="T25" s="30">
        <f t="shared" si="3"/>
        <v>1639573</v>
      </c>
      <c r="U25" s="30">
        <f t="shared" si="3"/>
        <v>1737073</v>
      </c>
      <c r="V25" s="64">
        <f t="shared" si="3"/>
        <v>1120981</v>
      </c>
      <c r="W25" s="38">
        <f t="shared" si="3"/>
        <v>7380200</v>
      </c>
      <c r="X25" s="114">
        <f t="shared" si="3"/>
        <v>7557100</v>
      </c>
    </row>
    <row r="26" spans="1:24" s="49" customFormat="1" ht="24" customHeight="1">
      <c r="A26" s="205" t="s">
        <v>115</v>
      </c>
      <c r="B26" s="206"/>
      <c r="C26" s="206"/>
      <c r="D26" s="206"/>
      <c r="E26" s="206"/>
      <c r="F26" s="47"/>
      <c r="G26" s="207" t="s">
        <v>85</v>
      </c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53">
        <f>R27</f>
        <v>7116700</v>
      </c>
      <c r="S26" s="88">
        <f aca="true" t="shared" si="4" ref="S26:X26">S27</f>
        <v>2619073</v>
      </c>
      <c r="T26" s="51">
        <f t="shared" si="4"/>
        <v>1639573</v>
      </c>
      <c r="U26" s="51">
        <f t="shared" si="4"/>
        <v>1737073</v>
      </c>
      <c r="V26" s="88">
        <f t="shared" si="4"/>
        <v>1120981</v>
      </c>
      <c r="W26" s="53">
        <f t="shared" si="4"/>
        <v>7380200</v>
      </c>
      <c r="X26" s="115">
        <f t="shared" si="4"/>
        <v>7557100</v>
      </c>
    </row>
    <row r="27" spans="1:24" s="3" customFormat="1" ht="16.5" customHeight="1">
      <c r="A27" s="209" t="s">
        <v>116</v>
      </c>
      <c r="B27" s="210"/>
      <c r="C27" s="210"/>
      <c r="D27" s="210"/>
      <c r="E27" s="210"/>
      <c r="F27" s="211"/>
      <c r="G27" s="212" t="s">
        <v>36</v>
      </c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54">
        <f>R28+R35+R46</f>
        <v>7116700</v>
      </c>
      <c r="S27" s="90">
        <f aca="true" t="shared" si="5" ref="S27:X27">S28+S35+S46</f>
        <v>2619073</v>
      </c>
      <c r="T27" s="31">
        <f t="shared" si="5"/>
        <v>1639573</v>
      </c>
      <c r="U27" s="31">
        <f t="shared" si="5"/>
        <v>1737073</v>
      </c>
      <c r="V27" s="90">
        <f t="shared" si="5"/>
        <v>1120981</v>
      </c>
      <c r="W27" s="54">
        <f t="shared" si="5"/>
        <v>7380200</v>
      </c>
      <c r="X27" s="116">
        <f t="shared" si="5"/>
        <v>7557100</v>
      </c>
    </row>
    <row r="28" spans="1:24" ht="48.75" customHeight="1">
      <c r="A28" s="214" t="s">
        <v>226</v>
      </c>
      <c r="B28" s="215"/>
      <c r="C28" s="215"/>
      <c r="D28" s="215"/>
      <c r="E28" s="215"/>
      <c r="F28" s="216"/>
      <c r="G28" s="217" t="s">
        <v>221</v>
      </c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55">
        <f>R29</f>
        <v>6679400</v>
      </c>
      <c r="S28" s="65">
        <f aca="true" t="shared" si="6" ref="S28:X28">S29</f>
        <v>2507500</v>
      </c>
      <c r="T28" s="32">
        <f t="shared" si="6"/>
        <v>1530000</v>
      </c>
      <c r="U28" s="32">
        <f t="shared" si="6"/>
        <v>1630500</v>
      </c>
      <c r="V28" s="65">
        <f t="shared" si="6"/>
        <v>1011400</v>
      </c>
      <c r="W28" s="55">
        <f t="shared" si="6"/>
        <v>6942900</v>
      </c>
      <c r="X28" s="117">
        <f t="shared" si="6"/>
        <v>7119800</v>
      </c>
    </row>
    <row r="29" spans="1:24" ht="24" customHeight="1">
      <c r="A29" s="214" t="s">
        <v>421</v>
      </c>
      <c r="B29" s="215"/>
      <c r="C29" s="215"/>
      <c r="D29" s="215"/>
      <c r="E29" s="215"/>
      <c r="F29" s="216"/>
      <c r="G29" s="217" t="s">
        <v>222</v>
      </c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55">
        <f>R30+R33</f>
        <v>6679400</v>
      </c>
      <c r="S29" s="65">
        <f aca="true" t="shared" si="7" ref="S29:X29">S30+S33</f>
        <v>2507500</v>
      </c>
      <c r="T29" s="32">
        <f t="shared" si="7"/>
        <v>1530000</v>
      </c>
      <c r="U29" s="32">
        <f t="shared" si="7"/>
        <v>1630500</v>
      </c>
      <c r="V29" s="65">
        <f t="shared" si="7"/>
        <v>1011400</v>
      </c>
      <c r="W29" s="55">
        <f t="shared" si="7"/>
        <v>6942900</v>
      </c>
      <c r="X29" s="117">
        <f t="shared" si="7"/>
        <v>7119800</v>
      </c>
    </row>
    <row r="30" spans="1:24" ht="12.75">
      <c r="A30" s="214" t="s">
        <v>422</v>
      </c>
      <c r="B30" s="215"/>
      <c r="C30" s="215"/>
      <c r="D30" s="215"/>
      <c r="E30" s="215"/>
      <c r="F30" s="216"/>
      <c r="G30" s="217" t="s">
        <v>225</v>
      </c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55">
        <f>R31+R32</f>
        <v>6674400</v>
      </c>
      <c r="S30" s="65">
        <f aca="true" t="shared" si="8" ref="S30:X30">S31+S32</f>
        <v>2505000</v>
      </c>
      <c r="T30" s="32">
        <f t="shared" si="8"/>
        <v>1530000</v>
      </c>
      <c r="U30" s="32">
        <f t="shared" si="8"/>
        <v>1628000</v>
      </c>
      <c r="V30" s="65">
        <f t="shared" si="8"/>
        <v>1011400</v>
      </c>
      <c r="W30" s="55">
        <f t="shared" si="8"/>
        <v>6937900</v>
      </c>
      <c r="X30" s="117">
        <f t="shared" si="8"/>
        <v>7114800</v>
      </c>
    </row>
    <row r="31" spans="1:24" ht="12.75" hidden="1">
      <c r="A31" s="214" t="s">
        <v>227</v>
      </c>
      <c r="B31" s="215"/>
      <c r="C31" s="215"/>
      <c r="D31" s="215"/>
      <c r="E31" s="215"/>
      <c r="F31" s="216"/>
      <c r="G31" s="217" t="s">
        <v>33</v>
      </c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56">
        <f aca="true" t="shared" si="9" ref="R31:R45">SUM(S31:V31)</f>
        <v>5214400</v>
      </c>
      <c r="S31" s="102">
        <v>1925000</v>
      </c>
      <c r="T31" s="103">
        <v>1175000</v>
      </c>
      <c r="U31" s="103">
        <v>1253000</v>
      </c>
      <c r="V31" s="102">
        <v>861400</v>
      </c>
      <c r="W31" s="123">
        <v>5420200</v>
      </c>
      <c r="X31" s="120">
        <v>5558400</v>
      </c>
    </row>
    <row r="32" spans="1:24" ht="12.75" hidden="1">
      <c r="A32" s="214" t="s">
        <v>228</v>
      </c>
      <c r="B32" s="215"/>
      <c r="C32" s="215"/>
      <c r="D32" s="215"/>
      <c r="E32" s="215"/>
      <c r="F32" s="216"/>
      <c r="G32" s="217" t="s">
        <v>34</v>
      </c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56">
        <f>SUM(S32:V32)</f>
        <v>1460000</v>
      </c>
      <c r="S32" s="102">
        <f>580000</f>
        <v>580000</v>
      </c>
      <c r="T32" s="103">
        <f>355000</f>
        <v>355000</v>
      </c>
      <c r="U32" s="103">
        <f>375000</f>
        <v>375000</v>
      </c>
      <c r="V32" s="102">
        <f>150000</f>
        <v>150000</v>
      </c>
      <c r="W32" s="123">
        <v>1517700</v>
      </c>
      <c r="X32" s="120">
        <v>1556400</v>
      </c>
    </row>
    <row r="33" spans="1:24" ht="12.75">
      <c r="A33" s="214" t="s">
        <v>425</v>
      </c>
      <c r="B33" s="215"/>
      <c r="C33" s="215"/>
      <c r="D33" s="215"/>
      <c r="E33" s="215"/>
      <c r="F33" s="216"/>
      <c r="G33" s="217" t="s">
        <v>229</v>
      </c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55">
        <f>R34</f>
        <v>5000</v>
      </c>
      <c r="S33" s="65">
        <f aca="true" t="shared" si="10" ref="S33:X33">S34</f>
        <v>2500</v>
      </c>
      <c r="T33" s="32">
        <f t="shared" si="10"/>
        <v>0</v>
      </c>
      <c r="U33" s="32">
        <f t="shared" si="10"/>
        <v>2500</v>
      </c>
      <c r="V33" s="65">
        <f t="shared" si="10"/>
        <v>0</v>
      </c>
      <c r="W33" s="55">
        <f t="shared" si="10"/>
        <v>5000</v>
      </c>
      <c r="X33" s="117">
        <f t="shared" si="10"/>
        <v>5000</v>
      </c>
    </row>
    <row r="34" spans="1:24" ht="12.75" hidden="1">
      <c r="A34" s="214" t="s">
        <v>230</v>
      </c>
      <c r="B34" s="215"/>
      <c r="C34" s="215"/>
      <c r="D34" s="215"/>
      <c r="E34" s="215"/>
      <c r="F34" s="216"/>
      <c r="G34" s="217" t="s">
        <v>37</v>
      </c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56">
        <f t="shared" si="9"/>
        <v>5000</v>
      </c>
      <c r="S34" s="102">
        <f>2500</f>
        <v>2500</v>
      </c>
      <c r="T34" s="103">
        <v>0</v>
      </c>
      <c r="U34" s="103">
        <f>2500</f>
        <v>2500</v>
      </c>
      <c r="V34" s="102">
        <v>0</v>
      </c>
      <c r="W34" s="123">
        <f>R34</f>
        <v>5000</v>
      </c>
      <c r="X34" s="120">
        <f>W34</f>
        <v>5000</v>
      </c>
    </row>
    <row r="35" spans="1:24" ht="12.75">
      <c r="A35" s="214" t="s">
        <v>231</v>
      </c>
      <c r="B35" s="215"/>
      <c r="C35" s="215"/>
      <c r="D35" s="215"/>
      <c r="E35" s="215"/>
      <c r="F35" s="216"/>
      <c r="G35" s="217" t="s">
        <v>246</v>
      </c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55">
        <f>R36</f>
        <v>436000</v>
      </c>
      <c r="S35" s="65">
        <f aca="true" t="shared" si="11" ref="S35:X36">S36</f>
        <v>111250</v>
      </c>
      <c r="T35" s="32">
        <f t="shared" si="11"/>
        <v>109250</v>
      </c>
      <c r="U35" s="32">
        <f t="shared" si="11"/>
        <v>106250</v>
      </c>
      <c r="V35" s="65">
        <f t="shared" si="11"/>
        <v>109250</v>
      </c>
      <c r="W35" s="55">
        <f t="shared" si="11"/>
        <v>436000</v>
      </c>
      <c r="X35" s="117">
        <f t="shared" si="11"/>
        <v>436000</v>
      </c>
    </row>
    <row r="36" spans="1:24" ht="24" customHeight="1">
      <c r="A36" s="214" t="s">
        <v>232</v>
      </c>
      <c r="B36" s="215"/>
      <c r="C36" s="215"/>
      <c r="D36" s="215"/>
      <c r="E36" s="215"/>
      <c r="F36" s="216"/>
      <c r="G36" s="217" t="s">
        <v>200</v>
      </c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55">
        <f>R37</f>
        <v>436000</v>
      </c>
      <c r="S36" s="65">
        <f t="shared" si="11"/>
        <v>111250</v>
      </c>
      <c r="T36" s="32">
        <f t="shared" si="11"/>
        <v>109250</v>
      </c>
      <c r="U36" s="32">
        <f t="shared" si="11"/>
        <v>106250</v>
      </c>
      <c r="V36" s="65">
        <f t="shared" si="11"/>
        <v>109250</v>
      </c>
      <c r="W36" s="55">
        <f t="shared" si="11"/>
        <v>436000</v>
      </c>
      <c r="X36" s="117">
        <f t="shared" si="11"/>
        <v>436000</v>
      </c>
    </row>
    <row r="37" spans="1:24" ht="24" customHeight="1">
      <c r="A37" s="214" t="s">
        <v>233</v>
      </c>
      <c r="B37" s="215"/>
      <c r="C37" s="215"/>
      <c r="D37" s="215"/>
      <c r="E37" s="215"/>
      <c r="F37" s="216"/>
      <c r="G37" s="217" t="s">
        <v>247</v>
      </c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55">
        <f>SUM(R38:R45)</f>
        <v>436000</v>
      </c>
      <c r="S37" s="65">
        <f aca="true" t="shared" si="12" ref="S37:X37">SUM(S38:S45)</f>
        <v>111250</v>
      </c>
      <c r="T37" s="32">
        <f t="shared" si="12"/>
        <v>109250</v>
      </c>
      <c r="U37" s="32">
        <f t="shared" si="12"/>
        <v>106250</v>
      </c>
      <c r="V37" s="65">
        <f t="shared" si="12"/>
        <v>109250</v>
      </c>
      <c r="W37" s="55">
        <f t="shared" si="12"/>
        <v>436000</v>
      </c>
      <c r="X37" s="117">
        <f t="shared" si="12"/>
        <v>436000</v>
      </c>
    </row>
    <row r="38" spans="1:24" ht="12.75" hidden="1">
      <c r="A38" s="214" t="s">
        <v>238</v>
      </c>
      <c r="B38" s="215"/>
      <c r="C38" s="215"/>
      <c r="D38" s="215"/>
      <c r="E38" s="215"/>
      <c r="F38" s="216"/>
      <c r="G38" s="217" t="s">
        <v>38</v>
      </c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56">
        <f t="shared" si="9"/>
        <v>73000</v>
      </c>
      <c r="S38" s="102">
        <f>18250</f>
        <v>18250</v>
      </c>
      <c r="T38" s="103">
        <f>18250</f>
        <v>18250</v>
      </c>
      <c r="U38" s="103">
        <f>18250</f>
        <v>18250</v>
      </c>
      <c r="V38" s="102">
        <f>18250</f>
        <v>18250</v>
      </c>
      <c r="W38" s="123">
        <f aca="true" t="shared" si="13" ref="W38:W45">R38</f>
        <v>73000</v>
      </c>
      <c r="X38" s="120">
        <f aca="true" t="shared" si="14" ref="X38:X45">W38</f>
        <v>73000</v>
      </c>
    </row>
    <row r="39" spans="1:24" ht="12.75" hidden="1">
      <c r="A39" s="214" t="s">
        <v>239</v>
      </c>
      <c r="B39" s="215"/>
      <c r="C39" s="215"/>
      <c r="D39" s="215"/>
      <c r="E39" s="215"/>
      <c r="F39" s="216"/>
      <c r="G39" s="217" t="s">
        <v>39</v>
      </c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56">
        <f t="shared" si="9"/>
        <v>0</v>
      </c>
      <c r="S39" s="102">
        <v>0</v>
      </c>
      <c r="T39" s="103">
        <v>0</v>
      </c>
      <c r="U39" s="103">
        <v>0</v>
      </c>
      <c r="V39" s="102">
        <v>0</v>
      </c>
      <c r="W39" s="123">
        <f t="shared" si="13"/>
        <v>0</v>
      </c>
      <c r="X39" s="120">
        <f t="shared" si="14"/>
        <v>0</v>
      </c>
    </row>
    <row r="40" spans="1:24" ht="12.75" hidden="1">
      <c r="A40" s="214" t="s">
        <v>240</v>
      </c>
      <c r="B40" s="215"/>
      <c r="C40" s="215"/>
      <c r="D40" s="215"/>
      <c r="E40" s="215"/>
      <c r="F40" s="216"/>
      <c r="G40" s="217" t="s">
        <v>40</v>
      </c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56">
        <f t="shared" si="9"/>
        <v>0</v>
      </c>
      <c r="S40" s="102">
        <v>0</v>
      </c>
      <c r="T40" s="103">
        <v>0</v>
      </c>
      <c r="U40" s="103">
        <v>0</v>
      </c>
      <c r="V40" s="102">
        <v>0</v>
      </c>
      <c r="W40" s="123">
        <f t="shared" si="13"/>
        <v>0</v>
      </c>
      <c r="X40" s="120">
        <f t="shared" si="14"/>
        <v>0</v>
      </c>
    </row>
    <row r="41" spans="1:24" ht="12.75" hidden="1">
      <c r="A41" s="214" t="s">
        <v>241</v>
      </c>
      <c r="B41" s="215"/>
      <c r="C41" s="215"/>
      <c r="D41" s="215"/>
      <c r="E41" s="215"/>
      <c r="F41" s="216"/>
      <c r="G41" s="217" t="s">
        <v>41</v>
      </c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56">
        <f t="shared" si="9"/>
        <v>0</v>
      </c>
      <c r="S41" s="102">
        <v>0</v>
      </c>
      <c r="T41" s="103">
        <v>0</v>
      </c>
      <c r="U41" s="103">
        <v>0</v>
      </c>
      <c r="V41" s="102">
        <v>0</v>
      </c>
      <c r="W41" s="123">
        <f t="shared" si="13"/>
        <v>0</v>
      </c>
      <c r="X41" s="120">
        <f t="shared" si="14"/>
        <v>0</v>
      </c>
    </row>
    <row r="42" spans="1:24" ht="12.75" hidden="1">
      <c r="A42" s="214" t="s">
        <v>242</v>
      </c>
      <c r="B42" s="215"/>
      <c r="C42" s="215"/>
      <c r="D42" s="215"/>
      <c r="E42" s="215"/>
      <c r="F42" s="216"/>
      <c r="G42" s="217" t="s">
        <v>42</v>
      </c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56">
        <f t="shared" si="9"/>
        <v>63000</v>
      </c>
      <c r="S42" s="102">
        <f>18000</f>
        <v>18000</v>
      </c>
      <c r="T42" s="103">
        <f>16000</f>
        <v>16000</v>
      </c>
      <c r="U42" s="103">
        <f>13000</f>
        <v>13000</v>
      </c>
      <c r="V42" s="102">
        <f>16000</f>
        <v>16000</v>
      </c>
      <c r="W42" s="123">
        <f t="shared" si="13"/>
        <v>63000</v>
      </c>
      <c r="X42" s="120">
        <f t="shared" si="14"/>
        <v>63000</v>
      </c>
    </row>
    <row r="43" spans="1:24" ht="12.75" customHeight="1" hidden="1">
      <c r="A43" s="214" t="s">
        <v>243</v>
      </c>
      <c r="B43" s="215"/>
      <c r="C43" s="215"/>
      <c r="D43" s="215"/>
      <c r="E43" s="215"/>
      <c r="F43" s="216"/>
      <c r="G43" s="217" t="s">
        <v>82</v>
      </c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56">
        <f>SUM(S43:V43)</f>
        <v>0</v>
      </c>
      <c r="S43" s="102">
        <v>0</v>
      </c>
      <c r="T43" s="103">
        <v>0</v>
      </c>
      <c r="U43" s="103">
        <v>0</v>
      </c>
      <c r="V43" s="102">
        <v>0</v>
      </c>
      <c r="W43" s="123">
        <f t="shared" si="13"/>
        <v>0</v>
      </c>
      <c r="X43" s="120">
        <f t="shared" si="14"/>
        <v>0</v>
      </c>
    </row>
    <row r="44" spans="1:24" ht="12.75" customHeight="1" hidden="1">
      <c r="A44" s="214" t="s">
        <v>244</v>
      </c>
      <c r="B44" s="215"/>
      <c r="C44" s="215"/>
      <c r="D44" s="215"/>
      <c r="E44" s="215"/>
      <c r="F44" s="216"/>
      <c r="G44" s="217" t="s">
        <v>43</v>
      </c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56">
        <f t="shared" si="9"/>
        <v>0</v>
      </c>
      <c r="S44" s="102">
        <v>0</v>
      </c>
      <c r="T44" s="103">
        <v>0</v>
      </c>
      <c r="U44" s="103">
        <v>0</v>
      </c>
      <c r="V44" s="102">
        <v>0</v>
      </c>
      <c r="W44" s="123">
        <f t="shared" si="13"/>
        <v>0</v>
      </c>
      <c r="X44" s="120">
        <f t="shared" si="14"/>
        <v>0</v>
      </c>
    </row>
    <row r="45" spans="1:24" ht="12.75" hidden="1">
      <c r="A45" s="214" t="s">
        <v>245</v>
      </c>
      <c r="B45" s="215"/>
      <c r="C45" s="215"/>
      <c r="D45" s="215"/>
      <c r="E45" s="215"/>
      <c r="F45" s="216"/>
      <c r="G45" s="173" t="s">
        <v>71</v>
      </c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56">
        <f t="shared" si="9"/>
        <v>300000</v>
      </c>
      <c r="S45" s="91">
        <f>75000</f>
        <v>75000</v>
      </c>
      <c r="T45" s="33">
        <f>75000</f>
        <v>75000</v>
      </c>
      <c r="U45" s="33">
        <f>75000</f>
        <v>75000</v>
      </c>
      <c r="V45" s="91">
        <f>75000</f>
        <v>75000</v>
      </c>
      <c r="W45" s="123">
        <f t="shared" si="13"/>
        <v>300000</v>
      </c>
      <c r="X45" s="120">
        <f t="shared" si="14"/>
        <v>300000</v>
      </c>
    </row>
    <row r="46" spans="1:24" ht="12.75" customHeight="1">
      <c r="A46" s="214" t="s">
        <v>234</v>
      </c>
      <c r="B46" s="215"/>
      <c r="C46" s="215"/>
      <c r="D46" s="215"/>
      <c r="E46" s="215"/>
      <c r="F46" s="216"/>
      <c r="G46" s="217" t="s">
        <v>248</v>
      </c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55">
        <f>R47</f>
        <v>1300</v>
      </c>
      <c r="S46" s="65">
        <f aca="true" t="shared" si="15" ref="S46:X48">S47</f>
        <v>323</v>
      </c>
      <c r="T46" s="32">
        <f t="shared" si="15"/>
        <v>323</v>
      </c>
      <c r="U46" s="32">
        <f t="shared" si="15"/>
        <v>323</v>
      </c>
      <c r="V46" s="65">
        <f t="shared" si="15"/>
        <v>331</v>
      </c>
      <c r="W46" s="55">
        <f t="shared" si="15"/>
        <v>1300</v>
      </c>
      <c r="X46" s="117">
        <f t="shared" si="15"/>
        <v>1300</v>
      </c>
    </row>
    <row r="47" spans="1:24" ht="12.75" customHeight="1">
      <c r="A47" s="214" t="s">
        <v>235</v>
      </c>
      <c r="B47" s="215"/>
      <c r="C47" s="215"/>
      <c r="D47" s="215"/>
      <c r="E47" s="215"/>
      <c r="F47" s="216"/>
      <c r="G47" s="217" t="s">
        <v>249</v>
      </c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55">
        <f>R48</f>
        <v>1300</v>
      </c>
      <c r="S47" s="65">
        <f t="shared" si="15"/>
        <v>323</v>
      </c>
      <c r="T47" s="32">
        <f t="shared" si="15"/>
        <v>323</v>
      </c>
      <c r="U47" s="32">
        <f t="shared" si="15"/>
        <v>323</v>
      </c>
      <c r="V47" s="65">
        <f t="shared" si="15"/>
        <v>331</v>
      </c>
      <c r="W47" s="55">
        <f t="shared" si="15"/>
        <v>1300</v>
      </c>
      <c r="X47" s="117">
        <f t="shared" si="15"/>
        <v>1300</v>
      </c>
    </row>
    <row r="48" spans="1:24" ht="12.75" customHeight="1">
      <c r="A48" s="214" t="s">
        <v>236</v>
      </c>
      <c r="B48" s="215"/>
      <c r="C48" s="215"/>
      <c r="D48" s="215"/>
      <c r="E48" s="215"/>
      <c r="F48" s="216"/>
      <c r="G48" s="217" t="s">
        <v>250</v>
      </c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55">
        <f>R49</f>
        <v>1300</v>
      </c>
      <c r="S48" s="65">
        <f t="shared" si="15"/>
        <v>323</v>
      </c>
      <c r="T48" s="32">
        <f t="shared" si="15"/>
        <v>323</v>
      </c>
      <c r="U48" s="32">
        <f t="shared" si="15"/>
        <v>323</v>
      </c>
      <c r="V48" s="65">
        <f t="shared" si="15"/>
        <v>331</v>
      </c>
      <c r="W48" s="55">
        <f t="shared" si="15"/>
        <v>1300</v>
      </c>
      <c r="X48" s="117">
        <f t="shared" si="15"/>
        <v>1300</v>
      </c>
    </row>
    <row r="49" spans="1:24" ht="12.75" customHeight="1" hidden="1">
      <c r="A49" s="214" t="s">
        <v>237</v>
      </c>
      <c r="B49" s="215"/>
      <c r="C49" s="215"/>
      <c r="D49" s="215"/>
      <c r="E49" s="215"/>
      <c r="F49" s="216"/>
      <c r="G49" s="217" t="s">
        <v>46</v>
      </c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56">
        <f>SUM(S49:V49)</f>
        <v>1300</v>
      </c>
      <c r="S49" s="102">
        <f>323</f>
        <v>323</v>
      </c>
      <c r="T49" s="103">
        <f>323</f>
        <v>323</v>
      </c>
      <c r="U49" s="103">
        <f>323</f>
        <v>323</v>
      </c>
      <c r="V49" s="102">
        <f>331</f>
        <v>331</v>
      </c>
      <c r="W49" s="123">
        <f>R49</f>
        <v>1300</v>
      </c>
      <c r="X49" s="120">
        <f>W49</f>
        <v>1300</v>
      </c>
    </row>
    <row r="50" spans="1:24" s="4" customFormat="1" ht="17.25" customHeight="1" hidden="1">
      <c r="A50" s="226" t="s">
        <v>156</v>
      </c>
      <c r="B50" s="227"/>
      <c r="C50" s="227"/>
      <c r="D50" s="227"/>
      <c r="E50" s="227"/>
      <c r="F50" s="228"/>
      <c r="G50" s="219" t="s">
        <v>75</v>
      </c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38">
        <f>R51</f>
        <v>0</v>
      </c>
      <c r="S50" s="64">
        <f>S51</f>
        <v>0</v>
      </c>
      <c r="T50" s="30">
        <f>T51</f>
        <v>0</v>
      </c>
      <c r="U50" s="30">
        <f>U51</f>
        <v>0</v>
      </c>
      <c r="V50" s="64">
        <f>V51</f>
        <v>0</v>
      </c>
      <c r="W50" s="38"/>
      <c r="X50" s="114"/>
    </row>
    <row r="51" spans="1:24" s="3" customFormat="1" ht="16.5" customHeight="1" hidden="1">
      <c r="A51" s="221" t="s">
        <v>157</v>
      </c>
      <c r="B51" s="222"/>
      <c r="C51" s="222"/>
      <c r="D51" s="222"/>
      <c r="E51" s="222"/>
      <c r="F51" s="223"/>
      <c r="G51" s="224" t="s">
        <v>76</v>
      </c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54">
        <f>R52+R54</f>
        <v>0</v>
      </c>
      <c r="S51" s="90">
        <f>S52+S54</f>
        <v>0</v>
      </c>
      <c r="T51" s="31">
        <f>T52+T54</f>
        <v>0</v>
      </c>
      <c r="U51" s="31">
        <f>U52+U54</f>
        <v>0</v>
      </c>
      <c r="V51" s="90">
        <f>V52+V54</f>
        <v>0</v>
      </c>
      <c r="W51" s="54"/>
      <c r="X51" s="116"/>
    </row>
    <row r="52" spans="1:24" ht="16.5" customHeight="1" hidden="1">
      <c r="A52" s="229" t="s">
        <v>158</v>
      </c>
      <c r="B52" s="230"/>
      <c r="C52" s="230"/>
      <c r="D52" s="230"/>
      <c r="E52" s="230"/>
      <c r="F52" s="231"/>
      <c r="G52" s="232" t="s">
        <v>32</v>
      </c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55">
        <f>R53</f>
        <v>0</v>
      </c>
      <c r="S52" s="65">
        <f>S53</f>
        <v>0</v>
      </c>
      <c r="T52" s="32">
        <f>T53</f>
        <v>0</v>
      </c>
      <c r="U52" s="32">
        <f>U53</f>
        <v>0</v>
      </c>
      <c r="V52" s="65">
        <f>V53</f>
        <v>0</v>
      </c>
      <c r="W52" s="55"/>
      <c r="X52" s="117"/>
    </row>
    <row r="53" spans="1:24" ht="16.5" customHeight="1" hidden="1">
      <c r="A53" s="229" t="s">
        <v>159</v>
      </c>
      <c r="B53" s="230"/>
      <c r="C53" s="230"/>
      <c r="D53" s="230"/>
      <c r="E53" s="230"/>
      <c r="F53" s="231"/>
      <c r="G53" s="234" t="s">
        <v>72</v>
      </c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56">
        <f>SUM(S53:V53)</f>
        <v>0</v>
      </c>
      <c r="S53" s="91"/>
      <c r="T53" s="33"/>
      <c r="U53" s="33"/>
      <c r="V53" s="91"/>
      <c r="W53" s="56"/>
      <c r="X53" s="119"/>
    </row>
    <row r="54" spans="1:24" ht="16.5" customHeight="1" hidden="1">
      <c r="A54" s="229" t="s">
        <v>161</v>
      </c>
      <c r="B54" s="230"/>
      <c r="C54" s="230"/>
      <c r="D54" s="230"/>
      <c r="E54" s="230"/>
      <c r="F54" s="231"/>
      <c r="G54" s="232" t="s">
        <v>32</v>
      </c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55">
        <f>R55</f>
        <v>0</v>
      </c>
      <c r="S54" s="65">
        <f>S55</f>
        <v>0</v>
      </c>
      <c r="T54" s="32">
        <f>T55</f>
        <v>0</v>
      </c>
      <c r="U54" s="32">
        <f>U55</f>
        <v>0</v>
      </c>
      <c r="V54" s="65">
        <f>V55</f>
        <v>0</v>
      </c>
      <c r="W54" s="55"/>
      <c r="X54" s="117"/>
    </row>
    <row r="55" spans="1:24" ht="16.5" customHeight="1" hidden="1">
      <c r="A55" s="229" t="s">
        <v>160</v>
      </c>
      <c r="B55" s="230"/>
      <c r="C55" s="230"/>
      <c r="D55" s="230"/>
      <c r="E55" s="230"/>
      <c r="F55" s="231"/>
      <c r="G55" s="234" t="s">
        <v>72</v>
      </c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56">
        <f>SUM(S55:V55)</f>
        <v>0</v>
      </c>
      <c r="S55" s="91"/>
      <c r="T55" s="33"/>
      <c r="U55" s="33"/>
      <c r="V55" s="91"/>
      <c r="W55" s="56"/>
      <c r="X55" s="119"/>
    </row>
    <row r="56" spans="1:24" s="4" customFormat="1" ht="12.75" customHeight="1">
      <c r="A56" s="200" t="s">
        <v>174</v>
      </c>
      <c r="B56" s="201"/>
      <c r="C56" s="201"/>
      <c r="D56" s="201"/>
      <c r="E56" s="201"/>
      <c r="F56" s="202"/>
      <c r="G56" s="203" t="s">
        <v>44</v>
      </c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38">
        <f>R58</f>
        <v>58300</v>
      </c>
      <c r="S56" s="64">
        <f aca="true" t="shared" si="16" ref="S56:X56">S58</f>
        <v>14575</v>
      </c>
      <c r="T56" s="30">
        <f t="shared" si="16"/>
        <v>14575</v>
      </c>
      <c r="U56" s="30">
        <f t="shared" si="16"/>
        <v>14575</v>
      </c>
      <c r="V56" s="64">
        <f t="shared" si="16"/>
        <v>14575</v>
      </c>
      <c r="W56" s="38">
        <f t="shared" si="16"/>
        <v>0</v>
      </c>
      <c r="X56" s="114">
        <f t="shared" si="16"/>
        <v>0</v>
      </c>
    </row>
    <row r="57" spans="1:24" s="3" customFormat="1" ht="12.75" customHeight="1">
      <c r="A57" s="205" t="s">
        <v>251</v>
      </c>
      <c r="B57" s="206"/>
      <c r="C57" s="206"/>
      <c r="D57" s="206"/>
      <c r="E57" s="206"/>
      <c r="F57" s="236"/>
      <c r="G57" s="207" t="s">
        <v>252</v>
      </c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53">
        <f>R58</f>
        <v>58300</v>
      </c>
      <c r="S57" s="88">
        <f aca="true" t="shared" si="17" ref="S57:X60">S58</f>
        <v>14575</v>
      </c>
      <c r="T57" s="51">
        <f t="shared" si="17"/>
        <v>14575</v>
      </c>
      <c r="U57" s="51">
        <f t="shared" si="17"/>
        <v>14575</v>
      </c>
      <c r="V57" s="88">
        <f t="shared" si="17"/>
        <v>14575</v>
      </c>
      <c r="W57" s="53">
        <f t="shared" si="17"/>
        <v>0</v>
      </c>
      <c r="X57" s="115">
        <f t="shared" si="17"/>
        <v>0</v>
      </c>
    </row>
    <row r="58" spans="1:24" s="3" customFormat="1" ht="12.75" customHeight="1">
      <c r="A58" s="209" t="s">
        <v>175</v>
      </c>
      <c r="B58" s="210"/>
      <c r="C58" s="210"/>
      <c r="D58" s="210"/>
      <c r="E58" s="210"/>
      <c r="F58" s="211"/>
      <c r="G58" s="212" t="s">
        <v>45</v>
      </c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54">
        <f>R59</f>
        <v>58300</v>
      </c>
      <c r="S58" s="90">
        <f t="shared" si="17"/>
        <v>14575</v>
      </c>
      <c r="T58" s="31">
        <f t="shared" si="17"/>
        <v>14575</v>
      </c>
      <c r="U58" s="31">
        <f t="shared" si="17"/>
        <v>14575</v>
      </c>
      <c r="V58" s="90">
        <f t="shared" si="17"/>
        <v>14575</v>
      </c>
      <c r="W58" s="54">
        <f t="shared" si="17"/>
        <v>0</v>
      </c>
      <c r="X58" s="116">
        <f t="shared" si="17"/>
        <v>0</v>
      </c>
    </row>
    <row r="59" spans="1:24" ht="12.75" customHeight="1">
      <c r="A59" s="214" t="s">
        <v>253</v>
      </c>
      <c r="B59" s="215"/>
      <c r="C59" s="215"/>
      <c r="D59" s="215"/>
      <c r="E59" s="215"/>
      <c r="F59" s="216"/>
      <c r="G59" s="217" t="s">
        <v>248</v>
      </c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55">
        <f>R60</f>
        <v>58300</v>
      </c>
      <c r="S59" s="65">
        <f t="shared" si="17"/>
        <v>14575</v>
      </c>
      <c r="T59" s="32">
        <f t="shared" si="17"/>
        <v>14575</v>
      </c>
      <c r="U59" s="32">
        <f t="shared" si="17"/>
        <v>14575</v>
      </c>
      <c r="V59" s="65">
        <f t="shared" si="17"/>
        <v>14575</v>
      </c>
      <c r="W59" s="55">
        <f t="shared" si="17"/>
        <v>0</v>
      </c>
      <c r="X59" s="117">
        <f t="shared" si="17"/>
        <v>0</v>
      </c>
    </row>
    <row r="60" spans="1:24" ht="12.75" customHeight="1">
      <c r="A60" s="214" t="s">
        <v>254</v>
      </c>
      <c r="B60" s="215"/>
      <c r="C60" s="215"/>
      <c r="D60" s="215"/>
      <c r="E60" s="215"/>
      <c r="F60" s="216"/>
      <c r="G60" s="217" t="s">
        <v>255</v>
      </c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55">
        <f>R61</f>
        <v>58300</v>
      </c>
      <c r="S60" s="65">
        <f t="shared" si="17"/>
        <v>14575</v>
      </c>
      <c r="T60" s="32">
        <f t="shared" si="17"/>
        <v>14575</v>
      </c>
      <c r="U60" s="32">
        <f t="shared" si="17"/>
        <v>14575</v>
      </c>
      <c r="V60" s="65">
        <f t="shared" si="17"/>
        <v>14575</v>
      </c>
      <c r="W60" s="55">
        <f t="shared" si="17"/>
        <v>0</v>
      </c>
      <c r="X60" s="117">
        <f t="shared" si="17"/>
        <v>0</v>
      </c>
    </row>
    <row r="61" spans="1:24" ht="12.75" customHeight="1" hidden="1">
      <c r="A61" s="214" t="s">
        <v>256</v>
      </c>
      <c r="B61" s="215"/>
      <c r="C61" s="215"/>
      <c r="D61" s="215"/>
      <c r="E61" s="215"/>
      <c r="F61" s="216"/>
      <c r="G61" s="217" t="s">
        <v>72</v>
      </c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56">
        <f>SUM(S61:V61)</f>
        <v>58300</v>
      </c>
      <c r="S61" s="102">
        <f>14575</f>
        <v>14575</v>
      </c>
      <c r="T61" s="103">
        <f>14575</f>
        <v>14575</v>
      </c>
      <c r="U61" s="103">
        <f>14575</f>
        <v>14575</v>
      </c>
      <c r="V61" s="102">
        <f>14575</f>
        <v>14575</v>
      </c>
      <c r="W61" s="123">
        <v>0</v>
      </c>
      <c r="X61" s="120">
        <v>0</v>
      </c>
    </row>
    <row r="62" spans="1:24" s="4" customFormat="1" ht="12.75">
      <c r="A62" s="200" t="s">
        <v>103</v>
      </c>
      <c r="B62" s="201"/>
      <c r="C62" s="201"/>
      <c r="D62" s="201"/>
      <c r="E62" s="201"/>
      <c r="F62" s="202"/>
      <c r="G62" s="203" t="s">
        <v>78</v>
      </c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38">
        <f aca="true" t="shared" si="18" ref="R62:X62">R63+R70+R76+R85</f>
        <v>634500</v>
      </c>
      <c r="S62" s="156">
        <f t="shared" si="18"/>
        <v>134838</v>
      </c>
      <c r="T62" s="30">
        <f t="shared" si="18"/>
        <v>188412</v>
      </c>
      <c r="U62" s="30">
        <f t="shared" si="18"/>
        <v>176413</v>
      </c>
      <c r="V62" s="114">
        <f t="shared" si="18"/>
        <v>134837</v>
      </c>
      <c r="W62" s="38">
        <f t="shared" si="18"/>
        <v>1185200</v>
      </c>
      <c r="X62" s="38">
        <f t="shared" si="18"/>
        <v>1754100</v>
      </c>
    </row>
    <row r="63" spans="1:24" s="49" customFormat="1" ht="18.75" customHeight="1">
      <c r="A63" s="244" t="s">
        <v>104</v>
      </c>
      <c r="B63" s="245"/>
      <c r="C63" s="245"/>
      <c r="D63" s="245"/>
      <c r="E63" s="245"/>
      <c r="F63" s="155"/>
      <c r="G63" s="237" t="s">
        <v>86</v>
      </c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53">
        <f>R64</f>
        <v>20000</v>
      </c>
      <c r="S63" s="157">
        <f aca="true" t="shared" si="19" ref="S63:X66">S64</f>
        <v>5000</v>
      </c>
      <c r="T63" s="51">
        <f t="shared" si="19"/>
        <v>5000</v>
      </c>
      <c r="U63" s="51">
        <f t="shared" si="19"/>
        <v>5000</v>
      </c>
      <c r="V63" s="115">
        <f t="shared" si="19"/>
        <v>5000</v>
      </c>
      <c r="W63" s="53">
        <f t="shared" si="19"/>
        <v>20000</v>
      </c>
      <c r="X63" s="53">
        <f t="shared" si="19"/>
        <v>20000</v>
      </c>
    </row>
    <row r="64" spans="1:24" s="3" customFormat="1" ht="16.5" customHeight="1">
      <c r="A64" s="241" t="s">
        <v>105</v>
      </c>
      <c r="B64" s="242"/>
      <c r="C64" s="242"/>
      <c r="D64" s="242"/>
      <c r="E64" s="242"/>
      <c r="F64" s="243"/>
      <c r="G64" s="239" t="s">
        <v>79</v>
      </c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54">
        <f>R65</f>
        <v>20000</v>
      </c>
      <c r="S64" s="158">
        <f t="shared" si="19"/>
        <v>5000</v>
      </c>
      <c r="T64" s="31">
        <f t="shared" si="19"/>
        <v>5000</v>
      </c>
      <c r="U64" s="31">
        <f t="shared" si="19"/>
        <v>5000</v>
      </c>
      <c r="V64" s="116">
        <f t="shared" si="19"/>
        <v>5000</v>
      </c>
      <c r="W64" s="54">
        <f t="shared" si="19"/>
        <v>20000</v>
      </c>
      <c r="X64" s="54">
        <f t="shared" si="19"/>
        <v>20000</v>
      </c>
    </row>
    <row r="65" spans="1:24" ht="12.75">
      <c r="A65" s="170" t="s">
        <v>412</v>
      </c>
      <c r="B65" s="171"/>
      <c r="C65" s="171"/>
      <c r="D65" s="171"/>
      <c r="E65" s="171"/>
      <c r="F65" s="172"/>
      <c r="G65" s="175" t="s">
        <v>246</v>
      </c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55">
        <f>R66</f>
        <v>20000</v>
      </c>
      <c r="S65" s="159">
        <f t="shared" si="19"/>
        <v>5000</v>
      </c>
      <c r="T65" s="32">
        <f t="shared" si="19"/>
        <v>5000</v>
      </c>
      <c r="U65" s="32">
        <f t="shared" si="19"/>
        <v>5000</v>
      </c>
      <c r="V65" s="117">
        <f t="shared" si="19"/>
        <v>5000</v>
      </c>
      <c r="W65" s="55">
        <f t="shared" si="19"/>
        <v>20000</v>
      </c>
      <c r="X65" s="55">
        <f t="shared" si="19"/>
        <v>20000</v>
      </c>
    </row>
    <row r="66" spans="1:24" ht="24" customHeight="1">
      <c r="A66" s="170" t="s">
        <v>413</v>
      </c>
      <c r="B66" s="171"/>
      <c r="C66" s="171"/>
      <c r="D66" s="171"/>
      <c r="E66" s="171"/>
      <c r="F66" s="172"/>
      <c r="G66" s="175" t="s">
        <v>200</v>
      </c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55">
        <f>R67</f>
        <v>20000</v>
      </c>
      <c r="S66" s="159">
        <f t="shared" si="19"/>
        <v>5000</v>
      </c>
      <c r="T66" s="32">
        <f t="shared" si="19"/>
        <v>5000</v>
      </c>
      <c r="U66" s="32">
        <f t="shared" si="19"/>
        <v>5000</v>
      </c>
      <c r="V66" s="117">
        <f t="shared" si="19"/>
        <v>5000</v>
      </c>
      <c r="W66" s="55">
        <f t="shared" si="19"/>
        <v>20000</v>
      </c>
      <c r="X66" s="55">
        <f t="shared" si="19"/>
        <v>20000</v>
      </c>
    </row>
    <row r="67" spans="1:24" ht="24" customHeight="1">
      <c r="A67" s="170" t="s">
        <v>414</v>
      </c>
      <c r="B67" s="171"/>
      <c r="C67" s="171"/>
      <c r="D67" s="171"/>
      <c r="E67" s="171"/>
      <c r="F67" s="172"/>
      <c r="G67" s="175" t="s">
        <v>247</v>
      </c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55">
        <f>SUM(R68:R69)</f>
        <v>20000</v>
      </c>
      <c r="S67" s="159">
        <f aca="true" t="shared" si="20" ref="S67:X67">SUM(S68:S69)</f>
        <v>5000</v>
      </c>
      <c r="T67" s="32">
        <f t="shared" si="20"/>
        <v>5000</v>
      </c>
      <c r="U67" s="32">
        <f t="shared" si="20"/>
        <v>5000</v>
      </c>
      <c r="V67" s="117">
        <f t="shared" si="20"/>
        <v>5000</v>
      </c>
      <c r="W67" s="55">
        <f t="shared" si="20"/>
        <v>20000</v>
      </c>
      <c r="X67" s="55">
        <f t="shared" si="20"/>
        <v>20000</v>
      </c>
    </row>
    <row r="68" spans="1:24" s="126" customFormat="1" ht="16.5" customHeight="1" hidden="1">
      <c r="A68" s="170" t="s">
        <v>415</v>
      </c>
      <c r="B68" s="171"/>
      <c r="C68" s="171"/>
      <c r="D68" s="171"/>
      <c r="E68" s="171"/>
      <c r="F68" s="172"/>
      <c r="G68" s="175" t="s">
        <v>43</v>
      </c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56">
        <f>S68+T68+U68+V68</f>
        <v>0</v>
      </c>
      <c r="S68" s="102">
        <v>0</v>
      </c>
      <c r="T68" s="103">
        <v>0</v>
      </c>
      <c r="U68" s="103">
        <v>0</v>
      </c>
      <c r="V68" s="102">
        <v>0</v>
      </c>
      <c r="W68" s="123">
        <v>0</v>
      </c>
      <c r="X68" s="120">
        <v>0</v>
      </c>
    </row>
    <row r="69" spans="1:24" s="126" customFormat="1" ht="16.5" customHeight="1" hidden="1">
      <c r="A69" s="170" t="s">
        <v>416</v>
      </c>
      <c r="B69" s="171"/>
      <c r="C69" s="171"/>
      <c r="D69" s="171"/>
      <c r="E69" s="171"/>
      <c r="F69" s="172"/>
      <c r="G69" s="173" t="s">
        <v>71</v>
      </c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56">
        <f>S69+T69+U69+V69</f>
        <v>20000</v>
      </c>
      <c r="S69" s="102">
        <f>5000</f>
        <v>5000</v>
      </c>
      <c r="T69" s="103">
        <f>5000</f>
        <v>5000</v>
      </c>
      <c r="U69" s="103">
        <f>5000</f>
        <v>5000</v>
      </c>
      <c r="V69" s="102">
        <f>5000</f>
        <v>5000</v>
      </c>
      <c r="W69" s="123">
        <v>20000</v>
      </c>
      <c r="X69" s="120">
        <v>20000</v>
      </c>
    </row>
    <row r="70" spans="1:24" ht="24" customHeight="1">
      <c r="A70" s="205" t="s">
        <v>266</v>
      </c>
      <c r="B70" s="206"/>
      <c r="C70" s="206"/>
      <c r="D70" s="206"/>
      <c r="E70" s="206"/>
      <c r="F70" s="236"/>
      <c r="G70" s="247" t="s">
        <v>270</v>
      </c>
      <c r="H70" s="248"/>
      <c r="I70" s="248"/>
      <c r="J70" s="248"/>
      <c r="K70" s="248"/>
      <c r="L70" s="248"/>
      <c r="M70" s="248"/>
      <c r="N70" s="248"/>
      <c r="O70" s="248"/>
      <c r="P70" s="248"/>
      <c r="Q70" s="124"/>
      <c r="R70" s="53">
        <f>R71</f>
        <v>125200</v>
      </c>
      <c r="S70" s="88">
        <f aca="true" t="shared" si="21" ref="S70:X74">S71</f>
        <v>0</v>
      </c>
      <c r="T70" s="51">
        <f t="shared" si="21"/>
        <v>62600</v>
      </c>
      <c r="U70" s="51">
        <f t="shared" si="21"/>
        <v>62600</v>
      </c>
      <c r="V70" s="88">
        <f t="shared" si="21"/>
        <v>0</v>
      </c>
      <c r="W70" s="53">
        <f t="shared" si="21"/>
        <v>129800</v>
      </c>
      <c r="X70" s="115">
        <f t="shared" si="21"/>
        <v>133000</v>
      </c>
    </row>
    <row r="71" spans="1:24" s="3" customFormat="1" ht="12.75" customHeight="1">
      <c r="A71" s="209" t="s">
        <v>269</v>
      </c>
      <c r="B71" s="210"/>
      <c r="C71" s="210"/>
      <c r="D71" s="210"/>
      <c r="E71" s="210"/>
      <c r="F71" s="211"/>
      <c r="G71" s="239" t="s">
        <v>173</v>
      </c>
      <c r="H71" s="240"/>
      <c r="I71" s="240"/>
      <c r="J71" s="240"/>
      <c r="K71" s="240"/>
      <c r="L71" s="240"/>
      <c r="M71" s="240"/>
      <c r="N71" s="240"/>
      <c r="O71" s="240"/>
      <c r="P71" s="240"/>
      <c r="Q71" s="246"/>
      <c r="R71" s="54">
        <f>R72</f>
        <v>125200</v>
      </c>
      <c r="S71" s="90">
        <f t="shared" si="21"/>
        <v>0</v>
      </c>
      <c r="T71" s="31">
        <f t="shared" si="21"/>
        <v>62600</v>
      </c>
      <c r="U71" s="31">
        <f t="shared" si="21"/>
        <v>62600</v>
      </c>
      <c r="V71" s="90">
        <f t="shared" si="21"/>
        <v>0</v>
      </c>
      <c r="W71" s="54">
        <f t="shared" si="21"/>
        <v>129800</v>
      </c>
      <c r="X71" s="116">
        <f t="shared" si="21"/>
        <v>133000</v>
      </c>
    </row>
    <row r="72" spans="1:24" ht="48.75" customHeight="1">
      <c r="A72" s="214" t="s">
        <v>268</v>
      </c>
      <c r="B72" s="215"/>
      <c r="C72" s="215"/>
      <c r="D72" s="215"/>
      <c r="E72" s="215"/>
      <c r="F72" s="216"/>
      <c r="G72" s="217" t="s">
        <v>221</v>
      </c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55">
        <f>R73</f>
        <v>125200</v>
      </c>
      <c r="S72" s="65">
        <f t="shared" si="21"/>
        <v>0</v>
      </c>
      <c r="T72" s="32">
        <f t="shared" si="21"/>
        <v>62600</v>
      </c>
      <c r="U72" s="32">
        <f t="shared" si="21"/>
        <v>62600</v>
      </c>
      <c r="V72" s="65">
        <f t="shared" si="21"/>
        <v>0</v>
      </c>
      <c r="W72" s="55">
        <f t="shared" si="21"/>
        <v>129800</v>
      </c>
      <c r="X72" s="117">
        <f t="shared" si="21"/>
        <v>133000</v>
      </c>
    </row>
    <row r="73" spans="1:24" ht="23.25" customHeight="1">
      <c r="A73" s="214" t="s">
        <v>427</v>
      </c>
      <c r="B73" s="215"/>
      <c r="C73" s="215"/>
      <c r="D73" s="215"/>
      <c r="E73" s="215"/>
      <c r="F73" s="216"/>
      <c r="G73" s="217" t="s">
        <v>222</v>
      </c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55">
        <f>R74</f>
        <v>125200</v>
      </c>
      <c r="S73" s="65">
        <f t="shared" si="21"/>
        <v>0</v>
      </c>
      <c r="T73" s="32">
        <f t="shared" si="21"/>
        <v>62600</v>
      </c>
      <c r="U73" s="32">
        <f t="shared" si="21"/>
        <v>62600</v>
      </c>
      <c r="V73" s="65">
        <f t="shared" si="21"/>
        <v>0</v>
      </c>
      <c r="W73" s="55">
        <f t="shared" si="21"/>
        <v>129800</v>
      </c>
      <c r="X73" s="117">
        <f t="shared" si="21"/>
        <v>133000</v>
      </c>
    </row>
    <row r="74" spans="1:24" ht="12.75">
      <c r="A74" s="214" t="s">
        <v>428</v>
      </c>
      <c r="B74" s="215"/>
      <c r="C74" s="215"/>
      <c r="D74" s="215"/>
      <c r="E74" s="215"/>
      <c r="F74" s="216"/>
      <c r="G74" s="217" t="s">
        <v>229</v>
      </c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55">
        <f>R75</f>
        <v>125200</v>
      </c>
      <c r="S74" s="65">
        <f t="shared" si="21"/>
        <v>0</v>
      </c>
      <c r="T74" s="32">
        <f t="shared" si="21"/>
        <v>62600</v>
      </c>
      <c r="U74" s="32">
        <f t="shared" si="21"/>
        <v>62600</v>
      </c>
      <c r="V74" s="65">
        <f t="shared" si="21"/>
        <v>0</v>
      </c>
      <c r="W74" s="55">
        <f t="shared" si="21"/>
        <v>129800</v>
      </c>
      <c r="X74" s="117">
        <f t="shared" si="21"/>
        <v>133000</v>
      </c>
    </row>
    <row r="75" spans="1:24" ht="12.75" hidden="1">
      <c r="A75" s="214" t="s">
        <v>267</v>
      </c>
      <c r="B75" s="215"/>
      <c r="C75" s="215"/>
      <c r="D75" s="215"/>
      <c r="E75" s="215"/>
      <c r="F75" s="216"/>
      <c r="G75" s="217" t="s">
        <v>37</v>
      </c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56">
        <f>S75+T75+U75+V75</f>
        <v>125200</v>
      </c>
      <c r="S75" s="102">
        <v>0</v>
      </c>
      <c r="T75" s="103">
        <f>62600</f>
        <v>62600</v>
      </c>
      <c r="U75" s="103">
        <f>62600</f>
        <v>62600</v>
      </c>
      <c r="V75" s="102">
        <v>0</v>
      </c>
      <c r="W75" s="123">
        <v>129800</v>
      </c>
      <c r="X75" s="120">
        <v>133000</v>
      </c>
    </row>
    <row r="76" spans="1:24" s="49" customFormat="1" ht="12.75">
      <c r="A76" s="205" t="s">
        <v>107</v>
      </c>
      <c r="B76" s="206"/>
      <c r="C76" s="206"/>
      <c r="D76" s="206"/>
      <c r="E76" s="206"/>
      <c r="F76" s="47"/>
      <c r="G76" s="207" t="s">
        <v>109</v>
      </c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53">
        <f>R77</f>
        <v>489300</v>
      </c>
      <c r="S76" s="88">
        <f aca="true" t="shared" si="22" ref="S76:X79">S77</f>
        <v>129838</v>
      </c>
      <c r="T76" s="51">
        <f t="shared" si="22"/>
        <v>120812</v>
      </c>
      <c r="U76" s="51">
        <f t="shared" si="22"/>
        <v>108813</v>
      </c>
      <c r="V76" s="88">
        <f t="shared" si="22"/>
        <v>129837</v>
      </c>
      <c r="W76" s="53">
        <f t="shared" si="22"/>
        <v>507400</v>
      </c>
      <c r="X76" s="115">
        <f t="shared" si="22"/>
        <v>519600</v>
      </c>
    </row>
    <row r="77" spans="1:24" s="3" customFormat="1" ht="12.75">
      <c r="A77" s="209" t="s">
        <v>108</v>
      </c>
      <c r="B77" s="210"/>
      <c r="C77" s="210"/>
      <c r="D77" s="210"/>
      <c r="E77" s="210"/>
      <c r="F77" s="211"/>
      <c r="G77" s="212" t="s">
        <v>57</v>
      </c>
      <c r="H77" s="213"/>
      <c r="I77" s="213"/>
      <c r="J77" s="213"/>
      <c r="K77" s="213"/>
      <c r="L77" s="213"/>
      <c r="M77" s="213"/>
      <c r="N77" s="213"/>
      <c r="O77" s="213"/>
      <c r="P77" s="213"/>
      <c r="Q77" s="213"/>
      <c r="R77" s="54">
        <f>R78</f>
        <v>489300</v>
      </c>
      <c r="S77" s="90">
        <f t="shared" si="22"/>
        <v>129838</v>
      </c>
      <c r="T77" s="31">
        <f t="shared" si="22"/>
        <v>120812</v>
      </c>
      <c r="U77" s="31">
        <f t="shared" si="22"/>
        <v>108813</v>
      </c>
      <c r="V77" s="90">
        <f t="shared" si="22"/>
        <v>129837</v>
      </c>
      <c r="W77" s="54">
        <f t="shared" si="22"/>
        <v>507400</v>
      </c>
      <c r="X77" s="116">
        <f t="shared" si="22"/>
        <v>519600</v>
      </c>
    </row>
    <row r="78" spans="1:24" ht="12.75">
      <c r="A78" s="214" t="s">
        <v>271</v>
      </c>
      <c r="B78" s="215"/>
      <c r="C78" s="215"/>
      <c r="D78" s="215"/>
      <c r="E78" s="215"/>
      <c r="F78" s="216"/>
      <c r="G78" s="217" t="s">
        <v>246</v>
      </c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55">
        <f>R79</f>
        <v>489300</v>
      </c>
      <c r="S78" s="65">
        <f t="shared" si="22"/>
        <v>129838</v>
      </c>
      <c r="T78" s="32">
        <f t="shared" si="22"/>
        <v>120812</v>
      </c>
      <c r="U78" s="32">
        <f t="shared" si="22"/>
        <v>108813</v>
      </c>
      <c r="V78" s="65">
        <f t="shared" si="22"/>
        <v>129837</v>
      </c>
      <c r="W78" s="55">
        <f t="shared" si="22"/>
        <v>507400</v>
      </c>
      <c r="X78" s="117">
        <f t="shared" si="22"/>
        <v>519600</v>
      </c>
    </row>
    <row r="79" spans="1:24" ht="24" customHeight="1">
      <c r="A79" s="214" t="s">
        <v>272</v>
      </c>
      <c r="B79" s="215"/>
      <c r="C79" s="215"/>
      <c r="D79" s="215"/>
      <c r="E79" s="215"/>
      <c r="F79" s="216"/>
      <c r="G79" s="217" t="s">
        <v>200</v>
      </c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55">
        <f>R80</f>
        <v>489300</v>
      </c>
      <c r="S79" s="65">
        <f t="shared" si="22"/>
        <v>129838</v>
      </c>
      <c r="T79" s="32">
        <f t="shared" si="22"/>
        <v>120812</v>
      </c>
      <c r="U79" s="32">
        <f t="shared" si="22"/>
        <v>108813</v>
      </c>
      <c r="V79" s="65">
        <f t="shared" si="22"/>
        <v>129837</v>
      </c>
      <c r="W79" s="55">
        <f t="shared" si="22"/>
        <v>507400</v>
      </c>
      <c r="X79" s="117">
        <f t="shared" si="22"/>
        <v>519600</v>
      </c>
    </row>
    <row r="80" spans="1:24" ht="24" customHeight="1">
      <c r="A80" s="214" t="s">
        <v>273</v>
      </c>
      <c r="B80" s="215"/>
      <c r="C80" s="215"/>
      <c r="D80" s="215"/>
      <c r="E80" s="215"/>
      <c r="F80" s="216"/>
      <c r="G80" s="217" t="s">
        <v>247</v>
      </c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55">
        <f>SUM(R81:R84)</f>
        <v>489300</v>
      </c>
      <c r="S80" s="65">
        <f aca="true" t="shared" si="23" ref="S80:X80">SUM(S81:S84)</f>
        <v>129838</v>
      </c>
      <c r="T80" s="32">
        <f t="shared" si="23"/>
        <v>120812</v>
      </c>
      <c r="U80" s="32">
        <f t="shared" si="23"/>
        <v>108813</v>
      </c>
      <c r="V80" s="65">
        <f t="shared" si="23"/>
        <v>129837</v>
      </c>
      <c r="W80" s="55">
        <f t="shared" si="23"/>
        <v>507400</v>
      </c>
      <c r="X80" s="117">
        <f t="shared" si="23"/>
        <v>519600</v>
      </c>
    </row>
    <row r="81" spans="1:24" ht="12.75" hidden="1">
      <c r="A81" s="214" t="s">
        <v>274</v>
      </c>
      <c r="B81" s="215"/>
      <c r="C81" s="215"/>
      <c r="D81" s="215"/>
      <c r="E81" s="215"/>
      <c r="F81" s="216"/>
      <c r="G81" s="217" t="s">
        <v>40</v>
      </c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56">
        <f>SUM(S81:V81)</f>
        <v>140000</v>
      </c>
      <c r="S81" s="102">
        <f>42500</f>
        <v>42500</v>
      </c>
      <c r="T81" s="103">
        <f>33500</f>
        <v>33500</v>
      </c>
      <c r="U81" s="103">
        <f>21500</f>
        <v>21500</v>
      </c>
      <c r="V81" s="102">
        <f>42500</f>
        <v>42500</v>
      </c>
      <c r="W81" s="123">
        <v>140000</v>
      </c>
      <c r="X81" s="120">
        <v>140000</v>
      </c>
    </row>
    <row r="82" spans="1:24" ht="12.75" hidden="1">
      <c r="A82" s="214" t="s">
        <v>275</v>
      </c>
      <c r="B82" s="215"/>
      <c r="C82" s="215"/>
      <c r="D82" s="215"/>
      <c r="E82" s="215"/>
      <c r="F82" s="216"/>
      <c r="G82" s="217" t="s">
        <v>41</v>
      </c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56">
        <f>SUM(S82:V82)</f>
        <v>100000</v>
      </c>
      <c r="S82" s="102">
        <f>25013</f>
        <v>25013</v>
      </c>
      <c r="T82" s="103">
        <f>24987</f>
        <v>24987</v>
      </c>
      <c r="U82" s="103">
        <f>24988</f>
        <v>24988</v>
      </c>
      <c r="V82" s="102">
        <f>25012</f>
        <v>25012</v>
      </c>
      <c r="W82" s="123">
        <v>100000</v>
      </c>
      <c r="X82" s="120">
        <v>100000</v>
      </c>
    </row>
    <row r="83" spans="1:24" ht="12.75" hidden="1">
      <c r="A83" s="214" t="s">
        <v>276</v>
      </c>
      <c r="B83" s="215"/>
      <c r="C83" s="215"/>
      <c r="D83" s="215"/>
      <c r="E83" s="215"/>
      <c r="F83" s="216"/>
      <c r="G83" s="217" t="s">
        <v>42</v>
      </c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56">
        <f>SUM(S83:V83)</f>
        <v>239300</v>
      </c>
      <c r="S83" s="102">
        <f>59825</f>
        <v>59825</v>
      </c>
      <c r="T83" s="103">
        <f>59825</f>
        <v>59825</v>
      </c>
      <c r="U83" s="103">
        <f>59825</f>
        <v>59825</v>
      </c>
      <c r="V83" s="102">
        <f>59825</f>
        <v>59825</v>
      </c>
      <c r="W83" s="123">
        <v>257400</v>
      </c>
      <c r="X83" s="120">
        <v>269600</v>
      </c>
    </row>
    <row r="84" spans="1:24" ht="12.75" hidden="1">
      <c r="A84" s="214" t="s">
        <v>277</v>
      </c>
      <c r="B84" s="215"/>
      <c r="C84" s="215"/>
      <c r="D84" s="215"/>
      <c r="E84" s="215"/>
      <c r="F84" s="216"/>
      <c r="G84" s="173" t="s">
        <v>71</v>
      </c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56">
        <f>SUM(S84:V84)</f>
        <v>10000</v>
      </c>
      <c r="S84" s="102">
        <f>2500</f>
        <v>2500</v>
      </c>
      <c r="T84" s="103">
        <f>2500</f>
        <v>2500</v>
      </c>
      <c r="U84" s="103">
        <f>2500</f>
        <v>2500</v>
      </c>
      <c r="V84" s="102">
        <f>2500</f>
        <v>2500</v>
      </c>
      <c r="W84" s="123">
        <f>R84</f>
        <v>10000</v>
      </c>
      <c r="X84" s="120">
        <f>W84</f>
        <v>10000</v>
      </c>
    </row>
    <row r="85" spans="1:24" s="49" customFormat="1" ht="12.75">
      <c r="A85" s="205" t="s">
        <v>106</v>
      </c>
      <c r="B85" s="206"/>
      <c r="C85" s="206"/>
      <c r="D85" s="206"/>
      <c r="E85" s="206"/>
      <c r="F85" s="47"/>
      <c r="G85" s="207" t="s">
        <v>87</v>
      </c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53">
        <f>R86</f>
        <v>0</v>
      </c>
      <c r="S85" s="88">
        <f aca="true" t="shared" si="24" ref="S85:V86">S86</f>
        <v>0</v>
      </c>
      <c r="T85" s="51">
        <f t="shared" si="24"/>
        <v>0</v>
      </c>
      <c r="U85" s="51">
        <f t="shared" si="24"/>
        <v>0</v>
      </c>
      <c r="V85" s="88">
        <f t="shared" si="24"/>
        <v>0</v>
      </c>
      <c r="W85" s="53">
        <f>W86</f>
        <v>528000</v>
      </c>
      <c r="X85" s="115">
        <f>X86</f>
        <v>1081500</v>
      </c>
    </row>
    <row r="86" spans="1:24" ht="12.75">
      <c r="A86" s="214" t="s">
        <v>278</v>
      </c>
      <c r="B86" s="215"/>
      <c r="C86" s="215"/>
      <c r="D86" s="215"/>
      <c r="E86" s="215"/>
      <c r="F86" s="43"/>
      <c r="G86" s="217" t="s">
        <v>248</v>
      </c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55">
        <f>R87</f>
        <v>0</v>
      </c>
      <c r="S86" s="65">
        <f t="shared" si="24"/>
        <v>0</v>
      </c>
      <c r="T86" s="32">
        <f t="shared" si="24"/>
        <v>0</v>
      </c>
      <c r="U86" s="32">
        <f t="shared" si="24"/>
        <v>0</v>
      </c>
      <c r="V86" s="65">
        <f t="shared" si="24"/>
        <v>0</v>
      </c>
      <c r="W86" s="55">
        <f>W87</f>
        <v>528000</v>
      </c>
      <c r="X86" s="117">
        <f>X87</f>
        <v>1081500</v>
      </c>
    </row>
    <row r="87" spans="1:24" ht="12.75" hidden="1">
      <c r="A87" s="214" t="s">
        <v>279</v>
      </c>
      <c r="B87" s="215"/>
      <c r="C87" s="215"/>
      <c r="D87" s="215"/>
      <c r="E87" s="215"/>
      <c r="F87" s="43"/>
      <c r="G87" s="217" t="s">
        <v>255</v>
      </c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56">
        <f>SUM(S87:V87)</f>
        <v>0</v>
      </c>
      <c r="S87" s="102">
        <v>0</v>
      </c>
      <c r="T87" s="103">
        <v>0</v>
      </c>
      <c r="U87" s="103">
        <v>0</v>
      </c>
      <c r="V87" s="102">
        <v>0</v>
      </c>
      <c r="W87" s="123">
        <v>528000</v>
      </c>
      <c r="X87" s="120">
        <v>1081500</v>
      </c>
    </row>
    <row r="88" spans="1:24" s="4" customFormat="1" ht="16.5" customHeight="1">
      <c r="A88" s="200" t="s">
        <v>117</v>
      </c>
      <c r="B88" s="201"/>
      <c r="C88" s="201"/>
      <c r="D88" s="201"/>
      <c r="E88" s="201"/>
      <c r="F88" s="202"/>
      <c r="G88" s="203" t="s">
        <v>47</v>
      </c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38">
        <f>R89</f>
        <v>399000</v>
      </c>
      <c r="S88" s="64">
        <f aca="true" t="shared" si="25" ref="S88:X89">S89</f>
        <v>111800</v>
      </c>
      <c r="T88" s="30">
        <f t="shared" si="25"/>
        <v>90850</v>
      </c>
      <c r="U88" s="30">
        <f t="shared" si="25"/>
        <v>105500</v>
      </c>
      <c r="V88" s="64">
        <f t="shared" si="25"/>
        <v>90850</v>
      </c>
      <c r="W88" s="38">
        <f t="shared" si="25"/>
        <v>415500</v>
      </c>
      <c r="X88" s="114">
        <f t="shared" si="25"/>
        <v>430400</v>
      </c>
    </row>
    <row r="89" spans="1:24" s="49" customFormat="1" ht="16.5" customHeight="1">
      <c r="A89" s="205" t="s">
        <v>118</v>
      </c>
      <c r="B89" s="206"/>
      <c r="C89" s="206"/>
      <c r="D89" s="206"/>
      <c r="E89" s="206"/>
      <c r="F89" s="47"/>
      <c r="G89" s="207" t="s">
        <v>86</v>
      </c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53">
        <f>R90</f>
        <v>399000</v>
      </c>
      <c r="S89" s="88">
        <f t="shared" si="25"/>
        <v>111800</v>
      </c>
      <c r="T89" s="51">
        <f t="shared" si="25"/>
        <v>90850</v>
      </c>
      <c r="U89" s="51">
        <f t="shared" si="25"/>
        <v>105500</v>
      </c>
      <c r="V89" s="88">
        <f t="shared" si="25"/>
        <v>90850</v>
      </c>
      <c r="W89" s="53">
        <f t="shared" si="25"/>
        <v>415500</v>
      </c>
      <c r="X89" s="115">
        <f t="shared" si="25"/>
        <v>430400</v>
      </c>
    </row>
    <row r="90" spans="1:24" s="3" customFormat="1" ht="26.25" customHeight="1">
      <c r="A90" s="209" t="s">
        <v>119</v>
      </c>
      <c r="B90" s="210"/>
      <c r="C90" s="210"/>
      <c r="D90" s="210"/>
      <c r="E90" s="210"/>
      <c r="F90" s="211"/>
      <c r="G90" s="212" t="s">
        <v>48</v>
      </c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54">
        <f>R91+R98+R108</f>
        <v>399000</v>
      </c>
      <c r="S90" s="90">
        <f aca="true" t="shared" si="26" ref="S90:X90">S91+S98+S108</f>
        <v>111800</v>
      </c>
      <c r="T90" s="31">
        <f t="shared" si="26"/>
        <v>90850</v>
      </c>
      <c r="U90" s="31">
        <f t="shared" si="26"/>
        <v>105500</v>
      </c>
      <c r="V90" s="90">
        <f t="shared" si="26"/>
        <v>90850</v>
      </c>
      <c r="W90" s="54">
        <f t="shared" si="26"/>
        <v>415500</v>
      </c>
      <c r="X90" s="116">
        <f t="shared" si="26"/>
        <v>430400</v>
      </c>
    </row>
    <row r="91" spans="1:24" ht="48.75" customHeight="1">
      <c r="A91" s="214" t="s">
        <v>280</v>
      </c>
      <c r="B91" s="215"/>
      <c r="C91" s="215"/>
      <c r="D91" s="215"/>
      <c r="E91" s="215"/>
      <c r="F91" s="216"/>
      <c r="G91" s="217" t="s">
        <v>221</v>
      </c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55">
        <f>R92</f>
        <v>368000</v>
      </c>
      <c r="S91" s="65">
        <f aca="true" t="shared" si="27" ref="S91:X91">S92</f>
        <v>107300</v>
      </c>
      <c r="T91" s="32">
        <f t="shared" si="27"/>
        <v>84000</v>
      </c>
      <c r="U91" s="32">
        <f t="shared" si="27"/>
        <v>102500</v>
      </c>
      <c r="V91" s="65">
        <f t="shared" si="27"/>
        <v>74200</v>
      </c>
      <c r="W91" s="55">
        <f t="shared" si="27"/>
        <v>382500</v>
      </c>
      <c r="X91" s="117">
        <f t="shared" si="27"/>
        <v>397400</v>
      </c>
    </row>
    <row r="92" spans="1:24" ht="24" customHeight="1">
      <c r="A92" s="214" t="s">
        <v>430</v>
      </c>
      <c r="B92" s="215"/>
      <c r="C92" s="215"/>
      <c r="D92" s="215"/>
      <c r="E92" s="215"/>
      <c r="F92" s="216"/>
      <c r="G92" s="217" t="s">
        <v>222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55">
        <f>R93+R96</f>
        <v>368000</v>
      </c>
      <c r="S92" s="65">
        <f aca="true" t="shared" si="28" ref="S92:X92">S93+S96</f>
        <v>107300</v>
      </c>
      <c r="T92" s="32">
        <f t="shared" si="28"/>
        <v>84000</v>
      </c>
      <c r="U92" s="32">
        <f t="shared" si="28"/>
        <v>102500</v>
      </c>
      <c r="V92" s="65">
        <f t="shared" si="28"/>
        <v>74200</v>
      </c>
      <c r="W92" s="131">
        <f t="shared" si="28"/>
        <v>382500</v>
      </c>
      <c r="X92" s="130">
        <f t="shared" si="28"/>
        <v>397400</v>
      </c>
    </row>
    <row r="93" spans="1:24" ht="12.75">
      <c r="A93" s="214" t="s">
        <v>431</v>
      </c>
      <c r="B93" s="215"/>
      <c r="C93" s="215"/>
      <c r="D93" s="215"/>
      <c r="E93" s="215"/>
      <c r="F93" s="216"/>
      <c r="G93" s="217" t="s">
        <v>225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55">
        <f>R94+R95</f>
        <v>356000</v>
      </c>
      <c r="S93" s="65">
        <f aca="true" t="shared" si="29" ref="S93:X93">S94+S95</f>
        <v>107300</v>
      </c>
      <c r="T93" s="32">
        <f t="shared" si="29"/>
        <v>72000</v>
      </c>
      <c r="U93" s="32">
        <f t="shared" si="29"/>
        <v>102500</v>
      </c>
      <c r="V93" s="65">
        <f t="shared" si="29"/>
        <v>74200</v>
      </c>
      <c r="W93" s="131">
        <f t="shared" si="29"/>
        <v>382500</v>
      </c>
      <c r="X93" s="130">
        <f t="shared" si="29"/>
        <v>382400</v>
      </c>
    </row>
    <row r="94" spans="1:24" ht="12.75" hidden="1">
      <c r="A94" s="214" t="s">
        <v>281</v>
      </c>
      <c r="B94" s="215"/>
      <c r="C94" s="215"/>
      <c r="D94" s="215"/>
      <c r="E94" s="215"/>
      <c r="F94" s="216"/>
      <c r="G94" s="217" t="s">
        <v>33</v>
      </c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56">
        <f>SUM(S94:V94)</f>
        <v>278100</v>
      </c>
      <c r="S94" s="102">
        <f>82400</f>
        <v>82400</v>
      </c>
      <c r="T94" s="103">
        <f>55300</f>
        <v>55300</v>
      </c>
      <c r="U94" s="103">
        <f>79700</f>
        <v>79700</v>
      </c>
      <c r="V94" s="102">
        <f>60700</f>
        <v>60700</v>
      </c>
      <c r="W94" s="123">
        <v>298800</v>
      </c>
      <c r="X94" s="120">
        <v>298800</v>
      </c>
    </row>
    <row r="95" spans="1:24" ht="12.75" hidden="1">
      <c r="A95" s="214" t="s">
        <v>282</v>
      </c>
      <c r="B95" s="215"/>
      <c r="C95" s="215"/>
      <c r="D95" s="215"/>
      <c r="E95" s="215"/>
      <c r="F95" s="216"/>
      <c r="G95" s="217" t="s">
        <v>34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56">
        <f>SUM(S95:V95)</f>
        <v>77900</v>
      </c>
      <c r="S95" s="102">
        <f>24900</f>
        <v>24900</v>
      </c>
      <c r="T95" s="103">
        <f>16700</f>
        <v>16700</v>
      </c>
      <c r="U95" s="103">
        <f>22800</f>
        <v>22800</v>
      </c>
      <c r="V95" s="102">
        <f>13500</f>
        <v>13500</v>
      </c>
      <c r="W95" s="123">
        <v>83700</v>
      </c>
      <c r="X95" s="120">
        <v>83600</v>
      </c>
    </row>
    <row r="96" spans="1:24" ht="12.75">
      <c r="A96" s="214" t="s">
        <v>434</v>
      </c>
      <c r="B96" s="215"/>
      <c r="C96" s="215"/>
      <c r="D96" s="215"/>
      <c r="E96" s="215"/>
      <c r="F96" s="216"/>
      <c r="G96" s="217" t="s">
        <v>229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55">
        <f aca="true" t="shared" si="30" ref="R96:X96">R97</f>
        <v>12000</v>
      </c>
      <c r="S96" s="65">
        <f t="shared" si="30"/>
        <v>0</v>
      </c>
      <c r="T96" s="32">
        <f t="shared" si="30"/>
        <v>12000</v>
      </c>
      <c r="U96" s="32">
        <f t="shared" si="30"/>
        <v>0</v>
      </c>
      <c r="V96" s="65">
        <f t="shared" si="30"/>
        <v>0</v>
      </c>
      <c r="W96" s="131">
        <f t="shared" si="30"/>
        <v>0</v>
      </c>
      <c r="X96" s="130">
        <f t="shared" si="30"/>
        <v>15000</v>
      </c>
    </row>
    <row r="97" spans="1:24" ht="12.75" hidden="1">
      <c r="A97" s="214" t="s">
        <v>283</v>
      </c>
      <c r="B97" s="215"/>
      <c r="C97" s="215"/>
      <c r="D97" s="215"/>
      <c r="E97" s="215"/>
      <c r="F97" s="216"/>
      <c r="G97" s="217" t="s">
        <v>37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56">
        <f aca="true" t="shared" si="31" ref="R97:R107">SUM(S97:V97)</f>
        <v>12000</v>
      </c>
      <c r="S97" s="102">
        <v>0</v>
      </c>
      <c r="T97" s="103">
        <f>12000</f>
        <v>12000</v>
      </c>
      <c r="U97" s="103">
        <v>0</v>
      </c>
      <c r="V97" s="102">
        <v>0</v>
      </c>
      <c r="W97" s="123">
        <v>0</v>
      </c>
      <c r="X97" s="120">
        <v>15000</v>
      </c>
    </row>
    <row r="98" spans="1:24" ht="12.75">
      <c r="A98" s="214" t="s">
        <v>286</v>
      </c>
      <c r="B98" s="215"/>
      <c r="C98" s="215"/>
      <c r="D98" s="215"/>
      <c r="E98" s="215"/>
      <c r="F98" s="216"/>
      <c r="G98" s="217" t="s">
        <v>246</v>
      </c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55">
        <f>R99</f>
        <v>31000</v>
      </c>
      <c r="S98" s="65">
        <f aca="true" t="shared" si="32" ref="S98:X99">S99</f>
        <v>4500</v>
      </c>
      <c r="T98" s="32">
        <f t="shared" si="32"/>
        <v>6850</v>
      </c>
      <c r="U98" s="32">
        <f t="shared" si="32"/>
        <v>3000</v>
      </c>
      <c r="V98" s="65">
        <f t="shared" si="32"/>
        <v>16650</v>
      </c>
      <c r="W98" s="131">
        <f t="shared" si="32"/>
        <v>33000</v>
      </c>
      <c r="X98" s="130">
        <f t="shared" si="32"/>
        <v>33000</v>
      </c>
    </row>
    <row r="99" spans="1:24" ht="24" customHeight="1">
      <c r="A99" s="214" t="s">
        <v>284</v>
      </c>
      <c r="B99" s="215"/>
      <c r="C99" s="215"/>
      <c r="D99" s="215"/>
      <c r="E99" s="215"/>
      <c r="F99" s="216"/>
      <c r="G99" s="217" t="s">
        <v>200</v>
      </c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55">
        <f>R100</f>
        <v>31000</v>
      </c>
      <c r="S99" s="65">
        <f t="shared" si="32"/>
        <v>4500</v>
      </c>
      <c r="T99" s="32">
        <f t="shared" si="32"/>
        <v>6850</v>
      </c>
      <c r="U99" s="32">
        <f t="shared" si="32"/>
        <v>3000</v>
      </c>
      <c r="V99" s="65">
        <f t="shared" si="32"/>
        <v>16650</v>
      </c>
      <c r="W99" s="131">
        <f t="shared" si="32"/>
        <v>33000</v>
      </c>
      <c r="X99" s="130">
        <f t="shared" si="32"/>
        <v>33000</v>
      </c>
    </row>
    <row r="100" spans="1:24" ht="24" customHeight="1">
      <c r="A100" s="214" t="s">
        <v>285</v>
      </c>
      <c r="B100" s="215"/>
      <c r="C100" s="215"/>
      <c r="D100" s="215"/>
      <c r="E100" s="215"/>
      <c r="F100" s="216"/>
      <c r="G100" s="217" t="s">
        <v>247</v>
      </c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55">
        <f>SUM(R101:R107)</f>
        <v>31000</v>
      </c>
      <c r="S100" s="65">
        <f aca="true" t="shared" si="33" ref="S100:X100">SUM(S101:S107)</f>
        <v>4500</v>
      </c>
      <c r="T100" s="32">
        <f t="shared" si="33"/>
        <v>6850</v>
      </c>
      <c r="U100" s="32">
        <f t="shared" si="33"/>
        <v>3000</v>
      </c>
      <c r="V100" s="65">
        <f t="shared" si="33"/>
        <v>16650</v>
      </c>
      <c r="W100" s="131">
        <f t="shared" si="33"/>
        <v>33000</v>
      </c>
      <c r="X100" s="130">
        <f t="shared" si="33"/>
        <v>33000</v>
      </c>
    </row>
    <row r="101" spans="1:24" ht="12.75" hidden="1">
      <c r="A101" s="214" t="s">
        <v>287</v>
      </c>
      <c r="B101" s="215"/>
      <c r="C101" s="215"/>
      <c r="D101" s="215"/>
      <c r="E101" s="215"/>
      <c r="F101" s="216"/>
      <c r="G101" s="217" t="s">
        <v>38</v>
      </c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56">
        <f t="shared" si="31"/>
        <v>8000</v>
      </c>
      <c r="S101" s="102">
        <f>2000</f>
        <v>2000</v>
      </c>
      <c r="T101" s="103">
        <f>2000</f>
        <v>2000</v>
      </c>
      <c r="U101" s="103">
        <f>2000</f>
        <v>2000</v>
      </c>
      <c r="V101" s="102">
        <f>2000</f>
        <v>2000</v>
      </c>
      <c r="W101" s="123">
        <v>9000</v>
      </c>
      <c r="X101" s="120">
        <v>9000</v>
      </c>
    </row>
    <row r="102" spans="1:24" ht="12.75" hidden="1">
      <c r="A102" s="214" t="s">
        <v>288</v>
      </c>
      <c r="B102" s="215"/>
      <c r="C102" s="215"/>
      <c r="D102" s="215"/>
      <c r="E102" s="215"/>
      <c r="F102" s="216"/>
      <c r="G102" s="217" t="s">
        <v>39</v>
      </c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56">
        <f t="shared" si="31"/>
        <v>0</v>
      </c>
      <c r="S102" s="102"/>
      <c r="T102" s="103"/>
      <c r="U102" s="103"/>
      <c r="V102" s="102"/>
      <c r="W102" s="123">
        <v>0</v>
      </c>
      <c r="X102" s="120">
        <v>0</v>
      </c>
    </row>
    <row r="103" spans="1:24" ht="12.75" hidden="1">
      <c r="A103" s="214" t="s">
        <v>289</v>
      </c>
      <c r="B103" s="215"/>
      <c r="C103" s="215"/>
      <c r="D103" s="215"/>
      <c r="E103" s="215"/>
      <c r="F103" s="216"/>
      <c r="G103" s="217" t="s">
        <v>40</v>
      </c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56">
        <f t="shared" si="31"/>
        <v>8000</v>
      </c>
      <c r="S103" s="102">
        <v>2500</v>
      </c>
      <c r="T103" s="103">
        <v>2000</v>
      </c>
      <c r="U103" s="103">
        <v>1000</v>
      </c>
      <c r="V103" s="102">
        <f>2500</f>
        <v>2500</v>
      </c>
      <c r="W103" s="123">
        <v>9000</v>
      </c>
      <c r="X103" s="120">
        <v>9000</v>
      </c>
    </row>
    <row r="104" spans="1:24" ht="12.75" hidden="1">
      <c r="A104" s="214" t="s">
        <v>290</v>
      </c>
      <c r="B104" s="215"/>
      <c r="C104" s="215"/>
      <c r="D104" s="215"/>
      <c r="E104" s="215"/>
      <c r="F104" s="216"/>
      <c r="G104" s="217" t="s">
        <v>41</v>
      </c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56">
        <f>SUM(S104:V104)</f>
        <v>0</v>
      </c>
      <c r="S104" s="102">
        <v>0</v>
      </c>
      <c r="T104" s="103">
        <v>0</v>
      </c>
      <c r="U104" s="103">
        <v>0</v>
      </c>
      <c r="V104" s="102">
        <v>0</v>
      </c>
      <c r="W104" s="123">
        <v>0</v>
      </c>
      <c r="X104" s="120">
        <v>0</v>
      </c>
    </row>
    <row r="105" spans="1:24" ht="12.75" hidden="1">
      <c r="A105" s="214" t="s">
        <v>291</v>
      </c>
      <c r="B105" s="215"/>
      <c r="C105" s="215"/>
      <c r="D105" s="215"/>
      <c r="E105" s="215"/>
      <c r="F105" s="216"/>
      <c r="G105" s="217" t="s">
        <v>42</v>
      </c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56">
        <f>SUM(S105:V105)</f>
        <v>5000</v>
      </c>
      <c r="S105" s="102">
        <v>0</v>
      </c>
      <c r="T105" s="103">
        <v>0</v>
      </c>
      <c r="U105" s="103">
        <v>0</v>
      </c>
      <c r="V105" s="102">
        <f>5000</f>
        <v>5000</v>
      </c>
      <c r="W105" s="123">
        <v>5000</v>
      </c>
      <c r="X105" s="120">
        <v>5000</v>
      </c>
    </row>
    <row r="106" spans="1:24" ht="12.75" hidden="1">
      <c r="A106" s="214" t="s">
        <v>292</v>
      </c>
      <c r="B106" s="215"/>
      <c r="C106" s="215"/>
      <c r="D106" s="215"/>
      <c r="E106" s="215"/>
      <c r="F106" s="216"/>
      <c r="G106" s="217" t="s">
        <v>43</v>
      </c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56">
        <f t="shared" si="31"/>
        <v>0</v>
      </c>
      <c r="S106" s="102">
        <v>0</v>
      </c>
      <c r="T106" s="103">
        <v>0</v>
      </c>
      <c r="U106" s="103">
        <v>0</v>
      </c>
      <c r="V106" s="102">
        <v>0</v>
      </c>
      <c r="W106" s="123">
        <v>0</v>
      </c>
      <c r="X106" s="120">
        <v>0</v>
      </c>
    </row>
    <row r="107" spans="1:24" ht="12.75" hidden="1">
      <c r="A107" s="214" t="s">
        <v>293</v>
      </c>
      <c r="B107" s="215"/>
      <c r="C107" s="215"/>
      <c r="D107" s="215"/>
      <c r="E107" s="215"/>
      <c r="F107" s="216"/>
      <c r="G107" s="173" t="s">
        <v>71</v>
      </c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56">
        <f t="shared" si="31"/>
        <v>10000</v>
      </c>
      <c r="S107" s="102">
        <v>0</v>
      </c>
      <c r="T107" s="103">
        <f>2850</f>
        <v>2850</v>
      </c>
      <c r="U107" s="103">
        <v>0</v>
      </c>
      <c r="V107" s="102">
        <f>7150</f>
        <v>7150</v>
      </c>
      <c r="W107" s="123">
        <v>10000</v>
      </c>
      <c r="X107" s="120">
        <v>10000</v>
      </c>
    </row>
    <row r="108" spans="1:24" ht="12.75" hidden="1">
      <c r="A108" s="214" t="s">
        <v>297</v>
      </c>
      <c r="B108" s="215"/>
      <c r="C108" s="215"/>
      <c r="D108" s="215"/>
      <c r="E108" s="215"/>
      <c r="F108" s="216"/>
      <c r="G108" s="217" t="s">
        <v>248</v>
      </c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55">
        <f>R109</f>
        <v>0</v>
      </c>
      <c r="S108" s="65">
        <f aca="true" t="shared" si="34" ref="S108:X110">S109</f>
        <v>0</v>
      </c>
      <c r="T108" s="32">
        <f t="shared" si="34"/>
        <v>0</v>
      </c>
      <c r="U108" s="32">
        <f t="shared" si="34"/>
        <v>0</v>
      </c>
      <c r="V108" s="65">
        <f t="shared" si="34"/>
        <v>0</v>
      </c>
      <c r="W108" s="131">
        <f t="shared" si="34"/>
        <v>0</v>
      </c>
      <c r="X108" s="130">
        <f t="shared" si="34"/>
        <v>0</v>
      </c>
    </row>
    <row r="109" spans="1:24" ht="12.75" hidden="1">
      <c r="A109" s="214" t="s">
        <v>296</v>
      </c>
      <c r="B109" s="215"/>
      <c r="C109" s="215"/>
      <c r="D109" s="215"/>
      <c r="E109" s="215"/>
      <c r="F109" s="216"/>
      <c r="G109" s="217" t="s">
        <v>249</v>
      </c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55">
        <f>R110</f>
        <v>0</v>
      </c>
      <c r="S109" s="65">
        <f t="shared" si="34"/>
        <v>0</v>
      </c>
      <c r="T109" s="32">
        <f t="shared" si="34"/>
        <v>0</v>
      </c>
      <c r="U109" s="32">
        <f t="shared" si="34"/>
        <v>0</v>
      </c>
      <c r="V109" s="65">
        <f t="shared" si="34"/>
        <v>0</v>
      </c>
      <c r="W109" s="131">
        <f t="shared" si="34"/>
        <v>0</v>
      </c>
      <c r="X109" s="130">
        <f t="shared" si="34"/>
        <v>0</v>
      </c>
    </row>
    <row r="110" spans="1:24" ht="12.75" hidden="1">
      <c r="A110" s="214" t="s">
        <v>295</v>
      </c>
      <c r="B110" s="215"/>
      <c r="C110" s="215"/>
      <c r="D110" s="215"/>
      <c r="E110" s="215"/>
      <c r="F110" s="216"/>
      <c r="G110" s="217" t="s">
        <v>250</v>
      </c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55">
        <f>R111</f>
        <v>0</v>
      </c>
      <c r="S110" s="65">
        <f t="shared" si="34"/>
        <v>0</v>
      </c>
      <c r="T110" s="32">
        <f t="shared" si="34"/>
        <v>0</v>
      </c>
      <c r="U110" s="32">
        <f t="shared" si="34"/>
        <v>0</v>
      </c>
      <c r="V110" s="65">
        <f t="shared" si="34"/>
        <v>0</v>
      </c>
      <c r="W110" s="131">
        <f t="shared" si="34"/>
        <v>0</v>
      </c>
      <c r="X110" s="130">
        <f t="shared" si="34"/>
        <v>0</v>
      </c>
    </row>
    <row r="111" spans="1:24" ht="12.75" hidden="1">
      <c r="A111" s="214" t="s">
        <v>294</v>
      </c>
      <c r="B111" s="215"/>
      <c r="C111" s="215"/>
      <c r="D111" s="215"/>
      <c r="E111" s="215"/>
      <c r="F111" s="216"/>
      <c r="G111" s="217" t="s">
        <v>72</v>
      </c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56">
        <f>SUM(S111:V111)</f>
        <v>0</v>
      </c>
      <c r="S111" s="102">
        <v>0</v>
      </c>
      <c r="T111" s="103">
        <v>0</v>
      </c>
      <c r="U111" s="103">
        <v>0</v>
      </c>
      <c r="V111" s="102">
        <v>0</v>
      </c>
      <c r="W111" s="123">
        <v>0</v>
      </c>
      <c r="X111" s="120">
        <v>0</v>
      </c>
    </row>
    <row r="112" spans="1:24" s="4" customFormat="1" ht="12.75" hidden="1">
      <c r="A112" s="200" t="s">
        <v>259</v>
      </c>
      <c r="B112" s="201"/>
      <c r="C112" s="201"/>
      <c r="D112" s="201"/>
      <c r="E112" s="201"/>
      <c r="F112" s="85"/>
      <c r="G112" s="203" t="s">
        <v>257</v>
      </c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38">
        <f>R113</f>
        <v>0</v>
      </c>
      <c r="S112" s="64">
        <f aca="true" t="shared" si="35" ref="S112:X116">S113</f>
        <v>0</v>
      </c>
      <c r="T112" s="30">
        <f t="shared" si="35"/>
        <v>0</v>
      </c>
      <c r="U112" s="30">
        <f t="shared" si="35"/>
        <v>0</v>
      </c>
      <c r="V112" s="64">
        <f t="shared" si="35"/>
        <v>0</v>
      </c>
      <c r="W112" s="38">
        <f t="shared" si="35"/>
        <v>0</v>
      </c>
      <c r="X112" s="114">
        <f t="shared" si="35"/>
        <v>0</v>
      </c>
    </row>
    <row r="113" spans="1:24" s="49" customFormat="1" ht="12.75" hidden="1">
      <c r="A113" s="205" t="s">
        <v>258</v>
      </c>
      <c r="B113" s="206"/>
      <c r="C113" s="206"/>
      <c r="D113" s="206"/>
      <c r="E113" s="206"/>
      <c r="F113" s="47"/>
      <c r="G113" s="207" t="s">
        <v>86</v>
      </c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53">
        <f>R114</f>
        <v>0</v>
      </c>
      <c r="S113" s="88">
        <f t="shared" si="35"/>
        <v>0</v>
      </c>
      <c r="T113" s="51">
        <f t="shared" si="35"/>
        <v>0</v>
      </c>
      <c r="U113" s="51">
        <f t="shared" si="35"/>
        <v>0</v>
      </c>
      <c r="V113" s="88">
        <f t="shared" si="35"/>
        <v>0</v>
      </c>
      <c r="W113" s="53">
        <f t="shared" si="35"/>
        <v>0</v>
      </c>
      <c r="X113" s="115">
        <f t="shared" si="35"/>
        <v>0</v>
      </c>
    </row>
    <row r="114" spans="1:24" s="3" customFormat="1" ht="12.75" hidden="1">
      <c r="A114" s="209" t="s">
        <v>260</v>
      </c>
      <c r="B114" s="210"/>
      <c r="C114" s="210"/>
      <c r="D114" s="210"/>
      <c r="E114" s="210"/>
      <c r="F114" s="211"/>
      <c r="G114" s="212" t="s">
        <v>79</v>
      </c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54">
        <f>R115</f>
        <v>0</v>
      </c>
      <c r="S114" s="90">
        <f t="shared" si="35"/>
        <v>0</v>
      </c>
      <c r="T114" s="31">
        <f t="shared" si="35"/>
        <v>0</v>
      </c>
      <c r="U114" s="31">
        <f t="shared" si="35"/>
        <v>0</v>
      </c>
      <c r="V114" s="90">
        <f t="shared" si="35"/>
        <v>0</v>
      </c>
      <c r="W114" s="54">
        <f t="shared" si="35"/>
        <v>0</v>
      </c>
      <c r="X114" s="116">
        <f t="shared" si="35"/>
        <v>0</v>
      </c>
    </row>
    <row r="115" spans="1:24" ht="12.75" hidden="1">
      <c r="A115" s="214" t="s">
        <v>261</v>
      </c>
      <c r="B115" s="215"/>
      <c r="C115" s="215"/>
      <c r="D115" s="215"/>
      <c r="E115" s="215"/>
      <c r="F115" s="216"/>
      <c r="G115" s="217" t="s">
        <v>246</v>
      </c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55">
        <f>R116</f>
        <v>0</v>
      </c>
      <c r="S115" s="65">
        <f t="shared" si="35"/>
        <v>0</v>
      </c>
      <c r="T115" s="32">
        <f t="shared" si="35"/>
        <v>0</v>
      </c>
      <c r="U115" s="32">
        <f t="shared" si="35"/>
        <v>0</v>
      </c>
      <c r="V115" s="65">
        <f t="shared" si="35"/>
        <v>0</v>
      </c>
      <c r="W115" s="55">
        <f t="shared" si="35"/>
        <v>0</v>
      </c>
      <c r="X115" s="117">
        <f t="shared" si="35"/>
        <v>0</v>
      </c>
    </row>
    <row r="116" spans="1:24" ht="24" customHeight="1" hidden="1">
      <c r="A116" s="214" t="s">
        <v>262</v>
      </c>
      <c r="B116" s="215"/>
      <c r="C116" s="215"/>
      <c r="D116" s="215"/>
      <c r="E116" s="215"/>
      <c r="F116" s="216"/>
      <c r="G116" s="217" t="s">
        <v>200</v>
      </c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55">
        <f>R117</f>
        <v>0</v>
      </c>
      <c r="S116" s="65">
        <f t="shared" si="35"/>
        <v>0</v>
      </c>
      <c r="T116" s="32">
        <f t="shared" si="35"/>
        <v>0</v>
      </c>
      <c r="U116" s="32">
        <f t="shared" si="35"/>
        <v>0</v>
      </c>
      <c r="V116" s="65">
        <f t="shared" si="35"/>
        <v>0</v>
      </c>
      <c r="W116" s="55">
        <f t="shared" si="35"/>
        <v>0</v>
      </c>
      <c r="X116" s="117">
        <f t="shared" si="35"/>
        <v>0</v>
      </c>
    </row>
    <row r="117" spans="1:24" ht="24" customHeight="1" hidden="1">
      <c r="A117" s="214" t="s">
        <v>263</v>
      </c>
      <c r="B117" s="215"/>
      <c r="C117" s="215"/>
      <c r="D117" s="215"/>
      <c r="E117" s="215"/>
      <c r="F117" s="216"/>
      <c r="G117" s="217" t="s">
        <v>247</v>
      </c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55">
        <f>R118+R119</f>
        <v>0</v>
      </c>
      <c r="S117" s="65">
        <f aca="true" t="shared" si="36" ref="S117:X117">S118+S119</f>
        <v>0</v>
      </c>
      <c r="T117" s="32">
        <f t="shared" si="36"/>
        <v>0</v>
      </c>
      <c r="U117" s="32">
        <f t="shared" si="36"/>
        <v>0</v>
      </c>
      <c r="V117" s="65">
        <f t="shared" si="36"/>
        <v>0</v>
      </c>
      <c r="W117" s="55">
        <f t="shared" si="36"/>
        <v>0</v>
      </c>
      <c r="X117" s="117">
        <f t="shared" si="36"/>
        <v>0</v>
      </c>
    </row>
    <row r="118" spans="1:24" s="129" customFormat="1" ht="12.75" hidden="1">
      <c r="A118" s="170" t="s">
        <v>264</v>
      </c>
      <c r="B118" s="171"/>
      <c r="C118" s="171"/>
      <c r="D118" s="171"/>
      <c r="E118" s="171"/>
      <c r="F118" s="172"/>
      <c r="G118" s="175" t="s">
        <v>43</v>
      </c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23">
        <f>SUM(S118:V118)</f>
        <v>0</v>
      </c>
      <c r="S118" s="102">
        <v>0</v>
      </c>
      <c r="T118" s="103">
        <v>0</v>
      </c>
      <c r="U118" s="103">
        <v>0</v>
      </c>
      <c r="V118" s="102">
        <v>0</v>
      </c>
      <c r="W118" s="123">
        <v>0</v>
      </c>
      <c r="X118" s="120">
        <v>0</v>
      </c>
    </row>
    <row r="119" spans="1:24" s="129" customFormat="1" ht="12.75" hidden="1">
      <c r="A119" s="170" t="s">
        <v>265</v>
      </c>
      <c r="B119" s="171"/>
      <c r="C119" s="171"/>
      <c r="D119" s="171"/>
      <c r="E119" s="171"/>
      <c r="F119" s="172"/>
      <c r="G119" s="173" t="s">
        <v>71</v>
      </c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23">
        <f>SUM(S119:V119)</f>
        <v>0</v>
      </c>
      <c r="S119" s="102"/>
      <c r="T119" s="103"/>
      <c r="U119" s="103"/>
      <c r="V119" s="102"/>
      <c r="W119" s="123"/>
      <c r="X119" s="120"/>
    </row>
    <row r="120" spans="1:24" ht="16.5" customHeight="1">
      <c r="A120" s="200" t="s">
        <v>120</v>
      </c>
      <c r="B120" s="201"/>
      <c r="C120" s="201"/>
      <c r="D120" s="201"/>
      <c r="E120" s="201"/>
      <c r="F120" s="85"/>
      <c r="G120" s="249" t="s">
        <v>99</v>
      </c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  <c r="R120" s="38">
        <f>R121</f>
        <v>267500</v>
      </c>
      <c r="S120" s="64">
        <f aca="true" t="shared" si="37" ref="S120:X124">S121</f>
        <v>65250</v>
      </c>
      <c r="T120" s="30">
        <f t="shared" si="37"/>
        <v>71750</v>
      </c>
      <c r="U120" s="30">
        <f t="shared" si="37"/>
        <v>65250</v>
      </c>
      <c r="V120" s="64">
        <f t="shared" si="37"/>
        <v>65250</v>
      </c>
      <c r="W120" s="38">
        <f t="shared" si="37"/>
        <v>277400</v>
      </c>
      <c r="X120" s="114">
        <f t="shared" si="37"/>
        <v>284100</v>
      </c>
    </row>
    <row r="121" spans="1:24" ht="24.75" customHeight="1">
      <c r="A121" s="205" t="s">
        <v>121</v>
      </c>
      <c r="B121" s="206"/>
      <c r="C121" s="206"/>
      <c r="D121" s="206"/>
      <c r="E121" s="206"/>
      <c r="F121" s="236"/>
      <c r="G121" s="247" t="s">
        <v>100</v>
      </c>
      <c r="H121" s="248"/>
      <c r="I121" s="248"/>
      <c r="J121" s="248"/>
      <c r="K121" s="248"/>
      <c r="L121" s="248"/>
      <c r="M121" s="248"/>
      <c r="N121" s="248"/>
      <c r="O121" s="248"/>
      <c r="P121" s="248"/>
      <c r="Q121" s="248"/>
      <c r="R121" s="53">
        <f>R122</f>
        <v>267500</v>
      </c>
      <c r="S121" s="88">
        <f t="shared" si="37"/>
        <v>65250</v>
      </c>
      <c r="T121" s="51">
        <f t="shared" si="37"/>
        <v>71750</v>
      </c>
      <c r="U121" s="51">
        <f t="shared" si="37"/>
        <v>65250</v>
      </c>
      <c r="V121" s="88">
        <f t="shared" si="37"/>
        <v>65250</v>
      </c>
      <c r="W121" s="53">
        <f t="shared" si="37"/>
        <v>277400</v>
      </c>
      <c r="X121" s="115">
        <f t="shared" si="37"/>
        <v>284100</v>
      </c>
    </row>
    <row r="122" spans="1:24" ht="24.75" customHeight="1">
      <c r="A122" s="209" t="s">
        <v>122</v>
      </c>
      <c r="B122" s="210"/>
      <c r="C122" s="210"/>
      <c r="D122" s="210"/>
      <c r="E122" s="210"/>
      <c r="F122" s="86"/>
      <c r="G122" s="251" t="s">
        <v>101</v>
      </c>
      <c r="H122" s="252"/>
      <c r="I122" s="252"/>
      <c r="J122" s="252"/>
      <c r="K122" s="252"/>
      <c r="L122" s="252"/>
      <c r="M122" s="252"/>
      <c r="N122" s="252"/>
      <c r="O122" s="252"/>
      <c r="P122" s="252"/>
      <c r="Q122" s="252"/>
      <c r="R122" s="54">
        <f>R123</f>
        <v>267500</v>
      </c>
      <c r="S122" s="90">
        <f t="shared" si="37"/>
        <v>65250</v>
      </c>
      <c r="T122" s="31">
        <f t="shared" si="37"/>
        <v>71750</v>
      </c>
      <c r="U122" s="31">
        <f t="shared" si="37"/>
        <v>65250</v>
      </c>
      <c r="V122" s="90">
        <f t="shared" si="37"/>
        <v>65250</v>
      </c>
      <c r="W122" s="54">
        <f t="shared" si="37"/>
        <v>277400</v>
      </c>
      <c r="X122" s="116">
        <f t="shared" si="37"/>
        <v>284100</v>
      </c>
    </row>
    <row r="123" spans="1:24" ht="12.75">
      <c r="A123" s="214" t="s">
        <v>298</v>
      </c>
      <c r="B123" s="215"/>
      <c r="C123" s="215"/>
      <c r="D123" s="215"/>
      <c r="E123" s="215"/>
      <c r="F123" s="216"/>
      <c r="G123" s="217" t="s">
        <v>246</v>
      </c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55">
        <f>R124</f>
        <v>267500</v>
      </c>
      <c r="S123" s="65">
        <f t="shared" si="37"/>
        <v>65250</v>
      </c>
      <c r="T123" s="32">
        <f t="shared" si="37"/>
        <v>71750</v>
      </c>
      <c r="U123" s="32">
        <f t="shared" si="37"/>
        <v>65250</v>
      </c>
      <c r="V123" s="65">
        <f t="shared" si="37"/>
        <v>65250</v>
      </c>
      <c r="W123" s="55">
        <f t="shared" si="37"/>
        <v>277400</v>
      </c>
      <c r="X123" s="117">
        <f t="shared" si="37"/>
        <v>284100</v>
      </c>
    </row>
    <row r="124" spans="1:24" ht="24" customHeight="1">
      <c r="A124" s="214" t="s">
        <v>299</v>
      </c>
      <c r="B124" s="215"/>
      <c r="C124" s="215"/>
      <c r="D124" s="215"/>
      <c r="E124" s="215"/>
      <c r="F124" s="216"/>
      <c r="G124" s="217" t="s">
        <v>200</v>
      </c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55">
        <f>R125</f>
        <v>267500</v>
      </c>
      <c r="S124" s="65">
        <f t="shared" si="37"/>
        <v>65250</v>
      </c>
      <c r="T124" s="32">
        <f t="shared" si="37"/>
        <v>71750</v>
      </c>
      <c r="U124" s="32">
        <f t="shared" si="37"/>
        <v>65250</v>
      </c>
      <c r="V124" s="65">
        <f t="shared" si="37"/>
        <v>65250</v>
      </c>
      <c r="W124" s="55">
        <f t="shared" si="37"/>
        <v>277400</v>
      </c>
      <c r="X124" s="117">
        <f t="shared" si="37"/>
        <v>284100</v>
      </c>
    </row>
    <row r="125" spans="1:24" ht="24" customHeight="1">
      <c r="A125" s="214" t="s">
        <v>300</v>
      </c>
      <c r="B125" s="215"/>
      <c r="C125" s="215"/>
      <c r="D125" s="215"/>
      <c r="E125" s="215"/>
      <c r="F125" s="216"/>
      <c r="G125" s="217" t="s">
        <v>247</v>
      </c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55">
        <f>SUM(R126:R130)</f>
        <v>267500</v>
      </c>
      <c r="S125" s="65">
        <f aca="true" t="shared" si="38" ref="S125:X125">SUM(S126:S130)</f>
        <v>65250</v>
      </c>
      <c r="T125" s="32">
        <f t="shared" si="38"/>
        <v>71750</v>
      </c>
      <c r="U125" s="32">
        <f t="shared" si="38"/>
        <v>65250</v>
      </c>
      <c r="V125" s="65">
        <f t="shared" si="38"/>
        <v>65250</v>
      </c>
      <c r="W125" s="131">
        <f t="shared" si="38"/>
        <v>277400</v>
      </c>
      <c r="X125" s="130">
        <f t="shared" si="38"/>
        <v>284100</v>
      </c>
    </row>
    <row r="126" spans="1:24" ht="12.75" hidden="1">
      <c r="A126" s="214" t="s">
        <v>301</v>
      </c>
      <c r="B126" s="215"/>
      <c r="C126" s="215"/>
      <c r="D126" s="215"/>
      <c r="E126" s="215"/>
      <c r="F126" s="43"/>
      <c r="G126" s="217" t="s">
        <v>39</v>
      </c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56">
        <f>S126+T126+U126+V126</f>
        <v>5000</v>
      </c>
      <c r="S126" s="102">
        <f>1250</f>
        <v>1250</v>
      </c>
      <c r="T126" s="103">
        <f>1250</f>
        <v>1250</v>
      </c>
      <c r="U126" s="103">
        <f>1250</f>
        <v>1250</v>
      </c>
      <c r="V126" s="102">
        <f>1250</f>
        <v>1250</v>
      </c>
      <c r="W126" s="123">
        <v>5000</v>
      </c>
      <c r="X126" s="120">
        <v>5000</v>
      </c>
    </row>
    <row r="127" spans="1:24" ht="12.75" hidden="1">
      <c r="A127" s="214" t="s">
        <v>302</v>
      </c>
      <c r="B127" s="215"/>
      <c r="C127" s="215"/>
      <c r="D127" s="215"/>
      <c r="E127" s="215"/>
      <c r="F127" s="43"/>
      <c r="G127" s="217" t="s">
        <v>41</v>
      </c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56">
        <f>S127+T127+U127+V127</f>
        <v>20000</v>
      </c>
      <c r="S127" s="102">
        <f>5000</f>
        <v>5000</v>
      </c>
      <c r="T127" s="103">
        <f>5000</f>
        <v>5000</v>
      </c>
      <c r="U127" s="103">
        <f>5000</f>
        <v>5000</v>
      </c>
      <c r="V127" s="102">
        <f>5000</f>
        <v>5000</v>
      </c>
      <c r="W127" s="123">
        <v>20000</v>
      </c>
      <c r="X127" s="120">
        <v>20000</v>
      </c>
    </row>
    <row r="128" spans="1:24" ht="12.75" hidden="1">
      <c r="A128" s="214" t="s">
        <v>303</v>
      </c>
      <c r="B128" s="215"/>
      <c r="C128" s="215"/>
      <c r="D128" s="215"/>
      <c r="E128" s="215"/>
      <c r="F128" s="43"/>
      <c r="G128" s="217" t="s">
        <v>42</v>
      </c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56">
        <f>S128+T128+U128+V128</f>
        <v>142500</v>
      </c>
      <c r="S128" s="102">
        <f>34000</f>
        <v>34000</v>
      </c>
      <c r="T128" s="103">
        <f>40500</f>
        <v>40500</v>
      </c>
      <c r="U128" s="103">
        <f>34000</f>
        <v>34000</v>
      </c>
      <c r="V128" s="102">
        <f>34000</f>
        <v>34000</v>
      </c>
      <c r="W128" s="123">
        <v>152400</v>
      </c>
      <c r="X128" s="120">
        <v>159100</v>
      </c>
    </row>
    <row r="129" spans="1:24" ht="12.75" hidden="1">
      <c r="A129" s="214" t="s">
        <v>304</v>
      </c>
      <c r="B129" s="215"/>
      <c r="C129" s="215"/>
      <c r="D129" s="215"/>
      <c r="E129" s="215"/>
      <c r="F129" s="43"/>
      <c r="G129" s="217" t="s">
        <v>43</v>
      </c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56">
        <f>S129+T129+U129+V129</f>
        <v>0</v>
      </c>
      <c r="S129" s="102">
        <v>0</v>
      </c>
      <c r="T129" s="103">
        <v>0</v>
      </c>
      <c r="U129" s="103">
        <v>0</v>
      </c>
      <c r="V129" s="102">
        <v>0</v>
      </c>
      <c r="W129" s="123">
        <v>0</v>
      </c>
      <c r="X129" s="120">
        <v>0</v>
      </c>
    </row>
    <row r="130" spans="1:24" ht="12.75" hidden="1">
      <c r="A130" s="214" t="s">
        <v>305</v>
      </c>
      <c r="B130" s="215"/>
      <c r="C130" s="215"/>
      <c r="D130" s="215"/>
      <c r="E130" s="216"/>
      <c r="F130" s="217" t="s">
        <v>71</v>
      </c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56">
        <f>S130+T130+U130+V130</f>
        <v>100000</v>
      </c>
      <c r="S130" s="102">
        <f>25000</f>
        <v>25000</v>
      </c>
      <c r="T130" s="103">
        <f>25000</f>
        <v>25000</v>
      </c>
      <c r="U130" s="103">
        <f>25000</f>
        <v>25000</v>
      </c>
      <c r="V130" s="102">
        <f>25000</f>
        <v>25000</v>
      </c>
      <c r="W130" s="123">
        <v>100000</v>
      </c>
      <c r="X130" s="120">
        <v>100000</v>
      </c>
    </row>
    <row r="131" spans="1:24" s="69" customFormat="1" ht="12.75" hidden="1">
      <c r="A131" s="253" t="s">
        <v>123</v>
      </c>
      <c r="B131" s="254"/>
      <c r="C131" s="254"/>
      <c r="D131" s="254"/>
      <c r="E131" s="254"/>
      <c r="F131" s="255"/>
      <c r="G131" s="256" t="s">
        <v>172</v>
      </c>
      <c r="H131" s="257"/>
      <c r="I131" s="257"/>
      <c r="J131" s="257"/>
      <c r="K131" s="257"/>
      <c r="L131" s="257"/>
      <c r="M131" s="257"/>
      <c r="N131" s="257"/>
      <c r="O131" s="257"/>
      <c r="P131" s="257"/>
      <c r="Q131" s="257"/>
      <c r="R131" s="79">
        <f aca="true" t="shared" si="39" ref="R131:X131">R132</f>
        <v>0</v>
      </c>
      <c r="S131" s="66">
        <f t="shared" si="39"/>
        <v>0</v>
      </c>
      <c r="T131" s="67">
        <f>T132</f>
        <v>0</v>
      </c>
      <c r="U131" s="67">
        <f>U132</f>
        <v>0</v>
      </c>
      <c r="V131" s="66">
        <f>V132</f>
        <v>0</v>
      </c>
      <c r="W131" s="137">
        <f t="shared" si="39"/>
        <v>0</v>
      </c>
      <c r="X131" s="136">
        <f t="shared" si="39"/>
        <v>0</v>
      </c>
    </row>
    <row r="132" spans="1:24" s="74" customFormat="1" ht="12.75" hidden="1">
      <c r="A132" s="260" t="s">
        <v>162</v>
      </c>
      <c r="B132" s="261"/>
      <c r="C132" s="261"/>
      <c r="D132" s="261"/>
      <c r="E132" s="261"/>
      <c r="F132" s="70"/>
      <c r="G132" s="258" t="s">
        <v>91</v>
      </c>
      <c r="H132" s="259"/>
      <c r="I132" s="259"/>
      <c r="J132" s="259"/>
      <c r="K132" s="259"/>
      <c r="L132" s="259"/>
      <c r="M132" s="259"/>
      <c r="N132" s="259"/>
      <c r="O132" s="259"/>
      <c r="P132" s="259"/>
      <c r="Q132" s="259"/>
      <c r="R132" s="80">
        <f>R133+R139+R141</f>
        <v>0</v>
      </c>
      <c r="S132" s="71">
        <f aca="true" t="shared" si="40" ref="S132:X132">S133+S139+S141</f>
        <v>0</v>
      </c>
      <c r="T132" s="72">
        <f t="shared" si="40"/>
        <v>0</v>
      </c>
      <c r="U132" s="72">
        <f>U133+U139+U141</f>
        <v>0</v>
      </c>
      <c r="V132" s="71">
        <f>V133+V139+V141</f>
        <v>0</v>
      </c>
      <c r="W132" s="139">
        <f t="shared" si="40"/>
        <v>0</v>
      </c>
      <c r="X132" s="138">
        <f t="shared" si="40"/>
        <v>0</v>
      </c>
    </row>
    <row r="133" spans="1:24" s="74" customFormat="1" ht="22.5" customHeight="1" hidden="1">
      <c r="A133" s="260" t="s">
        <v>163</v>
      </c>
      <c r="B133" s="261"/>
      <c r="C133" s="261"/>
      <c r="D133" s="261"/>
      <c r="E133" s="261"/>
      <c r="F133" s="70"/>
      <c r="G133" s="258" t="s">
        <v>92</v>
      </c>
      <c r="H133" s="259"/>
      <c r="I133" s="259"/>
      <c r="J133" s="259"/>
      <c r="K133" s="259"/>
      <c r="L133" s="259"/>
      <c r="M133" s="259"/>
      <c r="N133" s="259"/>
      <c r="O133" s="259"/>
      <c r="P133" s="259"/>
      <c r="Q133" s="259"/>
      <c r="R133" s="80">
        <f aca="true" t="shared" si="41" ref="R133:X134">R134</f>
        <v>0</v>
      </c>
      <c r="S133" s="71">
        <f t="shared" si="41"/>
        <v>0</v>
      </c>
      <c r="T133" s="72">
        <f t="shared" si="41"/>
        <v>0</v>
      </c>
      <c r="U133" s="72">
        <f t="shared" si="41"/>
        <v>0</v>
      </c>
      <c r="V133" s="71">
        <f t="shared" si="41"/>
        <v>0</v>
      </c>
      <c r="W133" s="139">
        <f t="shared" si="41"/>
        <v>0</v>
      </c>
      <c r="X133" s="138">
        <f t="shared" si="41"/>
        <v>0</v>
      </c>
    </row>
    <row r="134" spans="1:24" ht="48.75" customHeight="1" hidden="1">
      <c r="A134" s="214" t="s">
        <v>306</v>
      </c>
      <c r="B134" s="215"/>
      <c r="C134" s="215"/>
      <c r="D134" s="215"/>
      <c r="E134" s="215"/>
      <c r="F134" s="216"/>
      <c r="G134" s="217" t="s">
        <v>221</v>
      </c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55">
        <f>R135</f>
        <v>0</v>
      </c>
      <c r="S134" s="65">
        <f t="shared" si="41"/>
        <v>0</v>
      </c>
      <c r="T134" s="32">
        <f t="shared" si="41"/>
        <v>0</v>
      </c>
      <c r="U134" s="32">
        <f t="shared" si="41"/>
        <v>0</v>
      </c>
      <c r="V134" s="65">
        <f t="shared" si="41"/>
        <v>0</v>
      </c>
      <c r="W134" s="131">
        <f t="shared" si="41"/>
        <v>0</v>
      </c>
      <c r="X134" s="130">
        <f t="shared" si="41"/>
        <v>0</v>
      </c>
    </row>
    <row r="135" spans="1:24" ht="24" customHeight="1" hidden="1">
      <c r="A135" s="214" t="s">
        <v>307</v>
      </c>
      <c r="B135" s="215"/>
      <c r="C135" s="215"/>
      <c r="D135" s="215"/>
      <c r="E135" s="215"/>
      <c r="F135" s="216"/>
      <c r="G135" s="217" t="s">
        <v>222</v>
      </c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55">
        <f>R136+R139</f>
        <v>0</v>
      </c>
      <c r="S135" s="65">
        <f aca="true" t="shared" si="42" ref="S135:X135">S136+S139</f>
        <v>0</v>
      </c>
      <c r="T135" s="32">
        <f t="shared" si="42"/>
        <v>0</v>
      </c>
      <c r="U135" s="32">
        <f t="shared" si="42"/>
        <v>0</v>
      </c>
      <c r="V135" s="65">
        <f t="shared" si="42"/>
        <v>0</v>
      </c>
      <c r="W135" s="131">
        <f t="shared" si="42"/>
        <v>0</v>
      </c>
      <c r="X135" s="130">
        <f t="shared" si="42"/>
        <v>0</v>
      </c>
    </row>
    <row r="136" spans="1:24" ht="12.75" hidden="1">
      <c r="A136" s="214" t="s">
        <v>308</v>
      </c>
      <c r="B136" s="215"/>
      <c r="C136" s="215"/>
      <c r="D136" s="215"/>
      <c r="E136" s="215"/>
      <c r="F136" s="216"/>
      <c r="G136" s="217" t="s">
        <v>225</v>
      </c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55">
        <f>R137+R138</f>
        <v>0</v>
      </c>
      <c r="S136" s="65">
        <f aca="true" t="shared" si="43" ref="S136:X136">S137+S138</f>
        <v>0</v>
      </c>
      <c r="T136" s="32">
        <f t="shared" si="43"/>
        <v>0</v>
      </c>
      <c r="U136" s="32">
        <f t="shared" si="43"/>
        <v>0</v>
      </c>
      <c r="V136" s="65">
        <f t="shared" si="43"/>
        <v>0</v>
      </c>
      <c r="W136" s="131">
        <f t="shared" si="43"/>
        <v>0</v>
      </c>
      <c r="X136" s="130">
        <f t="shared" si="43"/>
        <v>0</v>
      </c>
    </row>
    <row r="137" spans="1:24" ht="12.75" hidden="1">
      <c r="A137" s="262" t="s">
        <v>309</v>
      </c>
      <c r="B137" s="263"/>
      <c r="C137" s="263"/>
      <c r="D137" s="263"/>
      <c r="E137" s="263"/>
      <c r="F137" s="264"/>
      <c r="G137" s="217" t="s">
        <v>33</v>
      </c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56">
        <f>SUM(S137:V137)</f>
        <v>0</v>
      </c>
      <c r="S137" s="102">
        <v>0</v>
      </c>
      <c r="T137" s="103">
        <v>0</v>
      </c>
      <c r="U137" s="103">
        <v>0</v>
      </c>
      <c r="V137" s="102">
        <v>0</v>
      </c>
      <c r="W137" s="123">
        <v>0</v>
      </c>
      <c r="X137" s="120">
        <v>0</v>
      </c>
    </row>
    <row r="138" spans="1:24" ht="12.75" hidden="1">
      <c r="A138" s="262" t="s">
        <v>310</v>
      </c>
      <c r="B138" s="263"/>
      <c r="C138" s="263"/>
      <c r="D138" s="263"/>
      <c r="E138" s="263"/>
      <c r="F138" s="264"/>
      <c r="G138" s="217" t="s">
        <v>34</v>
      </c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56">
        <f>SUM(S138:V138)</f>
        <v>0</v>
      </c>
      <c r="S138" s="102">
        <v>0</v>
      </c>
      <c r="T138" s="103">
        <v>0</v>
      </c>
      <c r="U138" s="103">
        <v>0</v>
      </c>
      <c r="V138" s="102">
        <v>0</v>
      </c>
      <c r="W138" s="123">
        <v>0</v>
      </c>
      <c r="X138" s="120">
        <v>0</v>
      </c>
    </row>
    <row r="139" spans="1:24" s="74" customFormat="1" ht="23.25" customHeight="1" hidden="1">
      <c r="A139" s="260" t="s">
        <v>164</v>
      </c>
      <c r="B139" s="261"/>
      <c r="C139" s="261"/>
      <c r="D139" s="261"/>
      <c r="E139" s="261"/>
      <c r="F139" s="70"/>
      <c r="G139" s="258" t="s">
        <v>92</v>
      </c>
      <c r="H139" s="259"/>
      <c r="I139" s="259"/>
      <c r="J139" s="259"/>
      <c r="K139" s="259"/>
      <c r="L139" s="259"/>
      <c r="M139" s="259"/>
      <c r="N139" s="259"/>
      <c r="O139" s="259"/>
      <c r="P139" s="259"/>
      <c r="Q139" s="259"/>
      <c r="R139" s="80">
        <f aca="true" t="shared" si="44" ref="R139:X139">R140</f>
        <v>0</v>
      </c>
      <c r="S139" s="106">
        <f t="shared" si="44"/>
        <v>0</v>
      </c>
      <c r="T139" s="107">
        <f t="shared" si="44"/>
        <v>0</v>
      </c>
      <c r="U139" s="107">
        <f t="shared" si="44"/>
        <v>0</v>
      </c>
      <c r="V139" s="106">
        <f t="shared" si="44"/>
        <v>0</v>
      </c>
      <c r="W139" s="139">
        <f t="shared" si="44"/>
        <v>0</v>
      </c>
      <c r="X139" s="138">
        <f t="shared" si="44"/>
        <v>0</v>
      </c>
    </row>
    <row r="140" spans="1:24" s="76" customFormat="1" ht="16.5" customHeight="1" hidden="1">
      <c r="A140" s="262" t="s">
        <v>311</v>
      </c>
      <c r="B140" s="263"/>
      <c r="C140" s="263"/>
      <c r="D140" s="263"/>
      <c r="E140" s="263"/>
      <c r="F140" s="264"/>
      <c r="G140" s="265"/>
      <c r="H140" s="266"/>
      <c r="I140" s="266"/>
      <c r="J140" s="266"/>
      <c r="K140" s="266"/>
      <c r="L140" s="266"/>
      <c r="M140" s="266"/>
      <c r="N140" s="266"/>
      <c r="O140" s="266"/>
      <c r="P140" s="266"/>
      <c r="Q140" s="266"/>
      <c r="R140" s="81">
        <f>SUM(S140:V140)</f>
        <v>0</v>
      </c>
      <c r="S140" s="108">
        <v>0</v>
      </c>
      <c r="T140" s="109">
        <v>0</v>
      </c>
      <c r="U140" s="109">
        <v>0</v>
      </c>
      <c r="V140" s="108">
        <v>0</v>
      </c>
      <c r="W140" s="140">
        <v>0</v>
      </c>
      <c r="X140" s="121">
        <v>0</v>
      </c>
    </row>
    <row r="141" spans="1:24" s="74" customFormat="1" ht="23.25" customHeight="1" hidden="1">
      <c r="A141" s="260" t="s">
        <v>124</v>
      </c>
      <c r="B141" s="261"/>
      <c r="C141" s="261"/>
      <c r="D141" s="261"/>
      <c r="E141" s="261"/>
      <c r="F141" s="70"/>
      <c r="G141" s="258" t="s">
        <v>171</v>
      </c>
      <c r="H141" s="259"/>
      <c r="I141" s="259"/>
      <c r="J141" s="259"/>
      <c r="K141" s="259"/>
      <c r="L141" s="259"/>
      <c r="M141" s="259"/>
      <c r="N141" s="259"/>
      <c r="O141" s="259"/>
      <c r="P141" s="259"/>
      <c r="Q141" s="259"/>
      <c r="R141" s="80">
        <f>R142+R147</f>
        <v>0</v>
      </c>
      <c r="S141" s="71">
        <f aca="true" t="shared" si="45" ref="S141:X141">S142+S147</f>
        <v>0</v>
      </c>
      <c r="T141" s="72">
        <f t="shared" si="45"/>
        <v>0</v>
      </c>
      <c r="U141" s="72">
        <f t="shared" si="45"/>
        <v>0</v>
      </c>
      <c r="V141" s="71">
        <f t="shared" si="45"/>
        <v>0</v>
      </c>
      <c r="W141" s="139">
        <f t="shared" si="45"/>
        <v>0</v>
      </c>
      <c r="X141" s="138">
        <f t="shared" si="45"/>
        <v>0</v>
      </c>
    </row>
    <row r="142" spans="1:24" ht="48.75" customHeight="1" hidden="1">
      <c r="A142" s="214" t="s">
        <v>312</v>
      </c>
      <c r="B142" s="215"/>
      <c r="C142" s="215"/>
      <c r="D142" s="215"/>
      <c r="E142" s="215"/>
      <c r="F142" s="216"/>
      <c r="G142" s="217" t="s">
        <v>221</v>
      </c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55">
        <f>R143</f>
        <v>0</v>
      </c>
      <c r="S142" s="65">
        <f aca="true" t="shared" si="46" ref="S142:X143">S143</f>
        <v>0</v>
      </c>
      <c r="T142" s="32">
        <f t="shared" si="46"/>
        <v>0</v>
      </c>
      <c r="U142" s="32">
        <f t="shared" si="46"/>
        <v>0</v>
      </c>
      <c r="V142" s="65">
        <f t="shared" si="46"/>
        <v>0</v>
      </c>
      <c r="W142" s="131">
        <f t="shared" si="46"/>
        <v>0</v>
      </c>
      <c r="X142" s="130">
        <f t="shared" si="46"/>
        <v>0</v>
      </c>
    </row>
    <row r="143" spans="1:24" ht="24" customHeight="1" hidden="1">
      <c r="A143" s="214" t="s">
        <v>313</v>
      </c>
      <c r="B143" s="215"/>
      <c r="C143" s="215"/>
      <c r="D143" s="215"/>
      <c r="E143" s="215"/>
      <c r="F143" s="216"/>
      <c r="G143" s="217" t="s">
        <v>222</v>
      </c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55">
        <f>R144</f>
        <v>0</v>
      </c>
      <c r="S143" s="65">
        <f t="shared" si="46"/>
        <v>0</v>
      </c>
      <c r="T143" s="32">
        <f t="shared" si="46"/>
        <v>0</v>
      </c>
      <c r="U143" s="32">
        <f t="shared" si="46"/>
        <v>0</v>
      </c>
      <c r="V143" s="65">
        <f t="shared" si="46"/>
        <v>0</v>
      </c>
      <c r="W143" s="131">
        <f t="shared" si="46"/>
        <v>0</v>
      </c>
      <c r="X143" s="130">
        <f t="shared" si="46"/>
        <v>0</v>
      </c>
    </row>
    <row r="144" spans="1:24" ht="12.75" hidden="1">
      <c r="A144" s="214" t="s">
        <v>314</v>
      </c>
      <c r="B144" s="215"/>
      <c r="C144" s="215"/>
      <c r="D144" s="215"/>
      <c r="E144" s="215"/>
      <c r="F144" s="216"/>
      <c r="G144" s="217" t="s">
        <v>225</v>
      </c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55">
        <f>R145+R146</f>
        <v>0</v>
      </c>
      <c r="S144" s="65">
        <f aca="true" t="shared" si="47" ref="S144:X144">S145+S146</f>
        <v>0</v>
      </c>
      <c r="T144" s="32">
        <f t="shared" si="47"/>
        <v>0</v>
      </c>
      <c r="U144" s="32">
        <f t="shared" si="47"/>
        <v>0</v>
      </c>
      <c r="V144" s="65">
        <f t="shared" si="47"/>
        <v>0</v>
      </c>
      <c r="W144" s="131">
        <f t="shared" si="47"/>
        <v>0</v>
      </c>
      <c r="X144" s="130">
        <f t="shared" si="47"/>
        <v>0</v>
      </c>
    </row>
    <row r="145" spans="1:24" ht="12.75" hidden="1">
      <c r="A145" s="262" t="s">
        <v>169</v>
      </c>
      <c r="B145" s="263"/>
      <c r="C145" s="263"/>
      <c r="D145" s="263"/>
      <c r="E145" s="263"/>
      <c r="F145" s="264"/>
      <c r="G145" s="217" t="s">
        <v>33</v>
      </c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56">
        <f>SUM(S145:V145)</f>
        <v>0</v>
      </c>
      <c r="S145" s="102">
        <v>0</v>
      </c>
      <c r="T145" s="103">
        <v>0</v>
      </c>
      <c r="U145" s="103">
        <v>0</v>
      </c>
      <c r="V145" s="102">
        <v>0</v>
      </c>
      <c r="W145" s="123">
        <v>0</v>
      </c>
      <c r="X145" s="120">
        <v>0</v>
      </c>
    </row>
    <row r="146" spans="1:24" ht="12.75" hidden="1">
      <c r="A146" s="262" t="s">
        <v>170</v>
      </c>
      <c r="B146" s="263"/>
      <c r="C146" s="263"/>
      <c r="D146" s="263"/>
      <c r="E146" s="263"/>
      <c r="F146" s="264"/>
      <c r="G146" s="217" t="s">
        <v>34</v>
      </c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56">
        <f>SUM(S146:V146)</f>
        <v>0</v>
      </c>
      <c r="S146" s="102">
        <v>0</v>
      </c>
      <c r="T146" s="103">
        <v>0</v>
      </c>
      <c r="U146" s="103">
        <v>0</v>
      </c>
      <c r="V146" s="102">
        <v>0</v>
      </c>
      <c r="W146" s="123">
        <v>0</v>
      </c>
      <c r="X146" s="120">
        <v>0</v>
      </c>
    </row>
    <row r="147" spans="1:24" ht="12.75" hidden="1">
      <c r="A147" s="214" t="s">
        <v>315</v>
      </c>
      <c r="B147" s="215"/>
      <c r="C147" s="215"/>
      <c r="D147" s="215"/>
      <c r="E147" s="215"/>
      <c r="F147" s="216"/>
      <c r="G147" s="217" t="s">
        <v>246</v>
      </c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55">
        <f>R148</f>
        <v>0</v>
      </c>
      <c r="S147" s="65">
        <f aca="true" t="shared" si="48" ref="S147:X148">S148</f>
        <v>0</v>
      </c>
      <c r="T147" s="32">
        <f t="shared" si="48"/>
        <v>0</v>
      </c>
      <c r="U147" s="32">
        <f t="shared" si="48"/>
        <v>0</v>
      </c>
      <c r="V147" s="65">
        <f t="shared" si="48"/>
        <v>0</v>
      </c>
      <c r="W147" s="131">
        <f t="shared" si="48"/>
        <v>0</v>
      </c>
      <c r="X147" s="130">
        <f t="shared" si="48"/>
        <v>0</v>
      </c>
    </row>
    <row r="148" spans="1:24" ht="24" customHeight="1" hidden="1">
      <c r="A148" s="214" t="s">
        <v>316</v>
      </c>
      <c r="B148" s="215"/>
      <c r="C148" s="215"/>
      <c r="D148" s="215"/>
      <c r="E148" s="215"/>
      <c r="F148" s="216"/>
      <c r="G148" s="217" t="s">
        <v>200</v>
      </c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55">
        <f>R149</f>
        <v>0</v>
      </c>
      <c r="S148" s="65">
        <f t="shared" si="48"/>
        <v>0</v>
      </c>
      <c r="T148" s="32">
        <f t="shared" si="48"/>
        <v>0</v>
      </c>
      <c r="U148" s="32">
        <f t="shared" si="48"/>
        <v>0</v>
      </c>
      <c r="V148" s="65">
        <f t="shared" si="48"/>
        <v>0</v>
      </c>
      <c r="W148" s="131">
        <f t="shared" si="48"/>
        <v>0</v>
      </c>
      <c r="X148" s="130">
        <f t="shared" si="48"/>
        <v>0</v>
      </c>
    </row>
    <row r="149" spans="1:24" ht="24" customHeight="1" hidden="1">
      <c r="A149" s="214" t="s">
        <v>317</v>
      </c>
      <c r="B149" s="215"/>
      <c r="C149" s="215"/>
      <c r="D149" s="215"/>
      <c r="E149" s="215"/>
      <c r="F149" s="216"/>
      <c r="G149" s="217" t="s">
        <v>247</v>
      </c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55">
        <f>SUM(R150:R151)</f>
        <v>0</v>
      </c>
      <c r="S149" s="65">
        <f aca="true" t="shared" si="49" ref="S149:X149">SUM(S150:S151)</f>
        <v>0</v>
      </c>
      <c r="T149" s="32">
        <f t="shared" si="49"/>
        <v>0</v>
      </c>
      <c r="U149" s="32">
        <f t="shared" si="49"/>
        <v>0</v>
      </c>
      <c r="V149" s="65">
        <f t="shared" si="49"/>
        <v>0</v>
      </c>
      <c r="W149" s="131">
        <f t="shared" si="49"/>
        <v>0</v>
      </c>
      <c r="X149" s="130">
        <f t="shared" si="49"/>
        <v>0</v>
      </c>
    </row>
    <row r="150" spans="1:24" s="76" customFormat="1" ht="12.75" hidden="1">
      <c r="A150" s="262" t="s">
        <v>318</v>
      </c>
      <c r="B150" s="263"/>
      <c r="C150" s="263"/>
      <c r="D150" s="263"/>
      <c r="E150" s="263"/>
      <c r="F150" s="264"/>
      <c r="G150" s="217" t="s">
        <v>41</v>
      </c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82">
        <f>SUM(S150:V150)</f>
        <v>0</v>
      </c>
      <c r="S150" s="110">
        <v>0</v>
      </c>
      <c r="T150" s="111">
        <v>0</v>
      </c>
      <c r="U150" s="111">
        <v>0</v>
      </c>
      <c r="V150" s="110">
        <v>0</v>
      </c>
      <c r="W150" s="132">
        <v>0</v>
      </c>
      <c r="X150" s="122">
        <v>0</v>
      </c>
    </row>
    <row r="151" spans="1:24" s="76" customFormat="1" ht="12.75" hidden="1">
      <c r="A151" s="262" t="s">
        <v>319</v>
      </c>
      <c r="B151" s="263"/>
      <c r="C151" s="263"/>
      <c r="D151" s="263"/>
      <c r="E151" s="263"/>
      <c r="F151" s="264"/>
      <c r="G151" s="217" t="s">
        <v>42</v>
      </c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82">
        <f>SUM(S151:V151)</f>
        <v>0</v>
      </c>
      <c r="S151" s="110">
        <v>0</v>
      </c>
      <c r="T151" s="111">
        <v>0</v>
      </c>
      <c r="U151" s="111">
        <v>0</v>
      </c>
      <c r="V151" s="110">
        <v>0</v>
      </c>
      <c r="W151" s="132">
        <v>0</v>
      </c>
      <c r="X151" s="122">
        <v>0</v>
      </c>
    </row>
    <row r="152" spans="1:24" ht="12.75">
      <c r="A152" s="200" t="s">
        <v>188</v>
      </c>
      <c r="B152" s="201"/>
      <c r="C152" s="201"/>
      <c r="D152" s="201"/>
      <c r="E152" s="201"/>
      <c r="F152" s="85"/>
      <c r="G152" s="256" t="s">
        <v>190</v>
      </c>
      <c r="H152" s="257"/>
      <c r="I152" s="257"/>
      <c r="J152" s="257"/>
      <c r="K152" s="257"/>
      <c r="L152" s="257"/>
      <c r="M152" s="257"/>
      <c r="N152" s="257"/>
      <c r="O152" s="257"/>
      <c r="P152" s="257"/>
      <c r="Q152" s="257"/>
      <c r="R152" s="38">
        <f>R153+R162</f>
        <v>8965400</v>
      </c>
      <c r="S152" s="64">
        <f aca="true" t="shared" si="50" ref="S152:X152">S153+S162</f>
        <v>239975</v>
      </c>
      <c r="T152" s="30">
        <f t="shared" si="50"/>
        <v>4242725</v>
      </c>
      <c r="U152" s="30">
        <f t="shared" si="50"/>
        <v>4242725</v>
      </c>
      <c r="V152" s="64">
        <f t="shared" si="50"/>
        <v>239975</v>
      </c>
      <c r="W152" s="141">
        <f t="shared" si="50"/>
        <v>749700</v>
      </c>
      <c r="X152" s="144">
        <f t="shared" si="50"/>
        <v>767600</v>
      </c>
    </row>
    <row r="153" spans="1:24" ht="12.75">
      <c r="A153" s="205" t="s">
        <v>192</v>
      </c>
      <c r="B153" s="206"/>
      <c r="C153" s="206"/>
      <c r="D153" s="206"/>
      <c r="E153" s="206"/>
      <c r="F153" s="236"/>
      <c r="G153" s="267" t="s">
        <v>191</v>
      </c>
      <c r="H153" s="268"/>
      <c r="I153" s="268"/>
      <c r="J153" s="268"/>
      <c r="K153" s="268"/>
      <c r="L153" s="268"/>
      <c r="M153" s="268"/>
      <c r="N153" s="268"/>
      <c r="O153" s="268"/>
      <c r="P153" s="268"/>
      <c r="Q153" s="269"/>
      <c r="R153" s="53">
        <f>R154</f>
        <v>722900</v>
      </c>
      <c r="S153" s="88">
        <f aca="true" t="shared" si="51" ref="S153:X157">S154</f>
        <v>239975</v>
      </c>
      <c r="T153" s="51">
        <f t="shared" si="51"/>
        <v>121475</v>
      </c>
      <c r="U153" s="51">
        <f t="shared" si="51"/>
        <v>121475</v>
      </c>
      <c r="V153" s="88">
        <f t="shared" si="51"/>
        <v>239975</v>
      </c>
      <c r="W153" s="142">
        <f t="shared" si="51"/>
        <v>749700</v>
      </c>
      <c r="X153" s="145">
        <f t="shared" si="51"/>
        <v>767600</v>
      </c>
    </row>
    <row r="154" spans="1:24" ht="12.75">
      <c r="A154" s="209" t="s">
        <v>193</v>
      </c>
      <c r="B154" s="210"/>
      <c r="C154" s="210"/>
      <c r="D154" s="210"/>
      <c r="E154" s="210"/>
      <c r="F154" s="86"/>
      <c r="G154" s="270" t="s">
        <v>194</v>
      </c>
      <c r="H154" s="271"/>
      <c r="I154" s="271"/>
      <c r="J154" s="271"/>
      <c r="K154" s="271"/>
      <c r="L154" s="271"/>
      <c r="M154" s="271"/>
      <c r="N154" s="271"/>
      <c r="O154" s="271"/>
      <c r="P154" s="271"/>
      <c r="Q154" s="272"/>
      <c r="R154" s="54">
        <f>R155</f>
        <v>722900</v>
      </c>
      <c r="S154" s="90">
        <f t="shared" si="51"/>
        <v>239975</v>
      </c>
      <c r="T154" s="31">
        <f t="shared" si="51"/>
        <v>121475</v>
      </c>
      <c r="U154" s="31">
        <f t="shared" si="51"/>
        <v>121475</v>
      </c>
      <c r="V154" s="90">
        <f t="shared" si="51"/>
        <v>239975</v>
      </c>
      <c r="W154" s="143">
        <f t="shared" si="51"/>
        <v>749700</v>
      </c>
      <c r="X154" s="146">
        <f t="shared" si="51"/>
        <v>767600</v>
      </c>
    </row>
    <row r="155" spans="1:24" ht="12.75">
      <c r="A155" s="214" t="s">
        <v>195</v>
      </c>
      <c r="B155" s="215"/>
      <c r="C155" s="215"/>
      <c r="D155" s="215"/>
      <c r="E155" s="215"/>
      <c r="F155" s="43"/>
      <c r="G155" s="217" t="s">
        <v>196</v>
      </c>
      <c r="H155" s="218"/>
      <c r="I155" s="218"/>
      <c r="J155" s="218"/>
      <c r="K155" s="218"/>
      <c r="L155" s="218"/>
      <c r="M155" s="218"/>
      <c r="N155" s="218"/>
      <c r="O155" s="218"/>
      <c r="P155" s="218"/>
      <c r="Q155" s="273"/>
      <c r="R155" s="55">
        <f>R156</f>
        <v>722900</v>
      </c>
      <c r="S155" s="65">
        <f t="shared" si="51"/>
        <v>239975</v>
      </c>
      <c r="T155" s="32">
        <f t="shared" si="51"/>
        <v>121475</v>
      </c>
      <c r="U155" s="32">
        <f t="shared" si="51"/>
        <v>121475</v>
      </c>
      <c r="V155" s="65">
        <f t="shared" si="51"/>
        <v>239975</v>
      </c>
      <c r="W155" s="131">
        <f t="shared" si="51"/>
        <v>749700</v>
      </c>
      <c r="X155" s="130">
        <f t="shared" si="51"/>
        <v>767600</v>
      </c>
    </row>
    <row r="156" spans="1:24" ht="24" customHeight="1">
      <c r="A156" s="214" t="s">
        <v>197</v>
      </c>
      <c r="B156" s="215"/>
      <c r="C156" s="215"/>
      <c r="D156" s="215"/>
      <c r="E156" s="215"/>
      <c r="F156" s="43"/>
      <c r="G156" s="217" t="s">
        <v>198</v>
      </c>
      <c r="H156" s="218"/>
      <c r="I156" s="218"/>
      <c r="J156" s="218"/>
      <c r="K156" s="218"/>
      <c r="L156" s="218"/>
      <c r="M156" s="218"/>
      <c r="N156" s="218"/>
      <c r="O156" s="218"/>
      <c r="P156" s="218"/>
      <c r="Q156" s="273"/>
      <c r="R156" s="55">
        <f>R157</f>
        <v>722900</v>
      </c>
      <c r="S156" s="65">
        <f t="shared" si="51"/>
        <v>239975</v>
      </c>
      <c r="T156" s="32">
        <f t="shared" si="51"/>
        <v>121475</v>
      </c>
      <c r="U156" s="32">
        <f t="shared" si="51"/>
        <v>121475</v>
      </c>
      <c r="V156" s="65">
        <f t="shared" si="51"/>
        <v>239975</v>
      </c>
      <c r="W156" s="131">
        <f t="shared" si="51"/>
        <v>749700</v>
      </c>
      <c r="X156" s="130">
        <f t="shared" si="51"/>
        <v>767600</v>
      </c>
    </row>
    <row r="157" spans="1:24" s="76" customFormat="1" ht="24" customHeight="1">
      <c r="A157" s="214" t="s">
        <v>199</v>
      </c>
      <c r="B157" s="215"/>
      <c r="C157" s="215"/>
      <c r="D157" s="215"/>
      <c r="E157" s="215"/>
      <c r="F157" s="43"/>
      <c r="G157" s="217" t="s">
        <v>200</v>
      </c>
      <c r="H157" s="218"/>
      <c r="I157" s="218"/>
      <c r="J157" s="218"/>
      <c r="K157" s="218"/>
      <c r="L157" s="218"/>
      <c r="M157" s="218"/>
      <c r="N157" s="218"/>
      <c r="O157" s="218"/>
      <c r="P157" s="218"/>
      <c r="Q157" s="273"/>
      <c r="R157" s="55">
        <f>R158</f>
        <v>722900</v>
      </c>
      <c r="S157" s="65">
        <f t="shared" si="51"/>
        <v>239975</v>
      </c>
      <c r="T157" s="32">
        <f t="shared" si="51"/>
        <v>121475</v>
      </c>
      <c r="U157" s="32">
        <f t="shared" si="51"/>
        <v>121475</v>
      </c>
      <c r="V157" s="65">
        <f t="shared" si="51"/>
        <v>239975</v>
      </c>
      <c r="W157" s="131">
        <f t="shared" si="51"/>
        <v>749700</v>
      </c>
      <c r="X157" s="130">
        <f t="shared" si="51"/>
        <v>767600</v>
      </c>
    </row>
    <row r="158" spans="1:24" s="76" customFormat="1" ht="24" customHeight="1">
      <c r="A158" s="214" t="s">
        <v>201</v>
      </c>
      <c r="B158" s="215"/>
      <c r="C158" s="215"/>
      <c r="D158" s="215"/>
      <c r="E158" s="215"/>
      <c r="F158" s="43"/>
      <c r="G158" s="217" t="s">
        <v>202</v>
      </c>
      <c r="H158" s="218"/>
      <c r="I158" s="218"/>
      <c r="J158" s="218"/>
      <c r="K158" s="218"/>
      <c r="L158" s="218"/>
      <c r="M158" s="218"/>
      <c r="N158" s="218"/>
      <c r="O158" s="218"/>
      <c r="P158" s="218"/>
      <c r="Q158" s="273"/>
      <c r="R158" s="55">
        <f>SUM(R159:R161)</f>
        <v>722900</v>
      </c>
      <c r="S158" s="65">
        <f aca="true" t="shared" si="52" ref="S158:X158">SUM(S159:S161)</f>
        <v>239975</v>
      </c>
      <c r="T158" s="32">
        <f t="shared" si="52"/>
        <v>121475</v>
      </c>
      <c r="U158" s="32">
        <f t="shared" si="52"/>
        <v>121475</v>
      </c>
      <c r="V158" s="65">
        <f t="shared" si="52"/>
        <v>239975</v>
      </c>
      <c r="W158" s="131">
        <f t="shared" si="52"/>
        <v>749700</v>
      </c>
      <c r="X158" s="130">
        <f t="shared" si="52"/>
        <v>767600</v>
      </c>
    </row>
    <row r="159" spans="1:24" s="76" customFormat="1" ht="12.75" hidden="1">
      <c r="A159" s="214" t="s">
        <v>215</v>
      </c>
      <c r="B159" s="215"/>
      <c r="C159" s="215"/>
      <c r="D159" s="215"/>
      <c r="E159" s="215"/>
      <c r="F159" s="43"/>
      <c r="G159" s="217" t="s">
        <v>39</v>
      </c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56">
        <f>S159+T159+U159+V159</f>
        <v>139900</v>
      </c>
      <c r="S159" s="102">
        <f>34975</f>
        <v>34975</v>
      </c>
      <c r="T159" s="103">
        <f>34975</f>
        <v>34975</v>
      </c>
      <c r="U159" s="103">
        <f>34975</f>
        <v>34975</v>
      </c>
      <c r="V159" s="102">
        <f>34975</f>
        <v>34975</v>
      </c>
      <c r="W159" s="123">
        <v>166700</v>
      </c>
      <c r="X159" s="120">
        <v>184600</v>
      </c>
    </row>
    <row r="160" spans="1:24" s="76" customFormat="1" ht="12.75" hidden="1">
      <c r="A160" s="214" t="s">
        <v>216</v>
      </c>
      <c r="B160" s="215"/>
      <c r="C160" s="215"/>
      <c r="D160" s="215"/>
      <c r="E160" s="215"/>
      <c r="F160" s="43"/>
      <c r="G160" s="217" t="s">
        <v>41</v>
      </c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56">
        <f>S160+T160+U160+V160</f>
        <v>563000</v>
      </c>
      <c r="S160" s="102">
        <f>200000</f>
        <v>200000</v>
      </c>
      <c r="T160" s="103">
        <f>81500</f>
        <v>81500</v>
      </c>
      <c r="U160" s="103">
        <f>81500</f>
        <v>81500</v>
      </c>
      <c r="V160" s="102">
        <f>200000</f>
        <v>200000</v>
      </c>
      <c r="W160" s="123">
        <v>563000</v>
      </c>
      <c r="X160" s="120">
        <v>563000</v>
      </c>
    </row>
    <row r="161" spans="1:24" s="76" customFormat="1" ht="12.75" hidden="1">
      <c r="A161" s="214" t="s">
        <v>217</v>
      </c>
      <c r="B161" s="215"/>
      <c r="C161" s="215"/>
      <c r="D161" s="215"/>
      <c r="E161" s="215"/>
      <c r="F161" s="43"/>
      <c r="G161" s="217" t="s">
        <v>42</v>
      </c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56">
        <f>S161+T161+U161+V161</f>
        <v>20000</v>
      </c>
      <c r="S161" s="102">
        <f>5000</f>
        <v>5000</v>
      </c>
      <c r="T161" s="103">
        <f>5000</f>
        <v>5000</v>
      </c>
      <c r="U161" s="103">
        <f>5000</f>
        <v>5000</v>
      </c>
      <c r="V161" s="102">
        <f>5000</f>
        <v>5000</v>
      </c>
      <c r="W161" s="123">
        <v>20000</v>
      </c>
      <c r="X161" s="120">
        <v>20000</v>
      </c>
    </row>
    <row r="162" spans="1:24" s="76" customFormat="1" ht="16.5" customHeight="1">
      <c r="A162" s="205" t="s">
        <v>203</v>
      </c>
      <c r="B162" s="206"/>
      <c r="C162" s="206"/>
      <c r="D162" s="206"/>
      <c r="E162" s="206"/>
      <c r="F162" s="47"/>
      <c r="G162" s="207" t="s">
        <v>183</v>
      </c>
      <c r="H162" s="208"/>
      <c r="I162" s="208"/>
      <c r="J162" s="208"/>
      <c r="K162" s="208"/>
      <c r="L162" s="208"/>
      <c r="M162" s="208"/>
      <c r="N162" s="208"/>
      <c r="O162" s="208"/>
      <c r="P162" s="208"/>
      <c r="Q162" s="274"/>
      <c r="R162" s="53">
        <f aca="true" t="shared" si="53" ref="R162:R167">R163</f>
        <v>8242500</v>
      </c>
      <c r="S162" s="88">
        <f aca="true" t="shared" si="54" ref="S162:X167">S163</f>
        <v>0</v>
      </c>
      <c r="T162" s="51">
        <f t="shared" si="54"/>
        <v>4121250</v>
      </c>
      <c r="U162" s="51">
        <f t="shared" si="54"/>
        <v>4121250</v>
      </c>
      <c r="V162" s="88">
        <f t="shared" si="54"/>
        <v>0</v>
      </c>
      <c r="W162" s="142">
        <f t="shared" si="54"/>
        <v>0</v>
      </c>
      <c r="X162" s="145">
        <f t="shared" si="54"/>
        <v>0</v>
      </c>
    </row>
    <row r="163" spans="1:24" s="76" customFormat="1" ht="24" customHeight="1">
      <c r="A163" s="209" t="s">
        <v>204</v>
      </c>
      <c r="B163" s="210"/>
      <c r="C163" s="210"/>
      <c r="D163" s="210"/>
      <c r="E163" s="210"/>
      <c r="F163" s="86"/>
      <c r="G163" s="212" t="s">
        <v>205</v>
      </c>
      <c r="H163" s="213"/>
      <c r="I163" s="213"/>
      <c r="J163" s="213"/>
      <c r="K163" s="213"/>
      <c r="L163" s="213"/>
      <c r="M163" s="213"/>
      <c r="N163" s="213"/>
      <c r="O163" s="213"/>
      <c r="P163" s="213"/>
      <c r="Q163" s="275"/>
      <c r="R163" s="54">
        <f t="shared" si="53"/>
        <v>8242500</v>
      </c>
      <c r="S163" s="90">
        <f t="shared" si="54"/>
        <v>0</v>
      </c>
      <c r="T163" s="31">
        <f t="shared" si="54"/>
        <v>4121250</v>
      </c>
      <c r="U163" s="31">
        <f t="shared" si="54"/>
        <v>4121250</v>
      </c>
      <c r="V163" s="90">
        <f t="shared" si="54"/>
        <v>0</v>
      </c>
      <c r="W163" s="54">
        <f t="shared" si="54"/>
        <v>0</v>
      </c>
      <c r="X163" s="116">
        <f t="shared" si="54"/>
        <v>0</v>
      </c>
    </row>
    <row r="164" spans="1:24" s="76" customFormat="1" ht="12.75">
      <c r="A164" s="214" t="s">
        <v>206</v>
      </c>
      <c r="B164" s="215"/>
      <c r="C164" s="215"/>
      <c r="D164" s="215"/>
      <c r="E164" s="215"/>
      <c r="F164" s="43"/>
      <c r="G164" s="217" t="s">
        <v>207</v>
      </c>
      <c r="H164" s="218"/>
      <c r="I164" s="218"/>
      <c r="J164" s="218"/>
      <c r="K164" s="218"/>
      <c r="L164" s="218"/>
      <c r="M164" s="218"/>
      <c r="N164" s="218"/>
      <c r="O164" s="218"/>
      <c r="P164" s="218"/>
      <c r="Q164" s="273"/>
      <c r="R164" s="55">
        <f t="shared" si="53"/>
        <v>8242500</v>
      </c>
      <c r="S164" s="65">
        <f t="shared" si="54"/>
        <v>0</v>
      </c>
      <c r="T164" s="32">
        <f t="shared" si="54"/>
        <v>4121250</v>
      </c>
      <c r="U164" s="32">
        <f t="shared" si="54"/>
        <v>4121250</v>
      </c>
      <c r="V164" s="65">
        <f t="shared" si="54"/>
        <v>0</v>
      </c>
      <c r="W164" s="55">
        <f t="shared" si="54"/>
        <v>0</v>
      </c>
      <c r="X164" s="117">
        <f t="shared" si="54"/>
        <v>0</v>
      </c>
    </row>
    <row r="165" spans="1:24" s="76" customFormat="1" ht="12.75">
      <c r="A165" s="214" t="s">
        <v>209</v>
      </c>
      <c r="B165" s="215"/>
      <c r="C165" s="215"/>
      <c r="D165" s="215"/>
      <c r="E165" s="215"/>
      <c r="F165" s="43"/>
      <c r="G165" s="217" t="s">
        <v>208</v>
      </c>
      <c r="H165" s="218"/>
      <c r="I165" s="218"/>
      <c r="J165" s="218"/>
      <c r="K165" s="218"/>
      <c r="L165" s="218"/>
      <c r="M165" s="218"/>
      <c r="N165" s="218"/>
      <c r="O165" s="218"/>
      <c r="P165" s="218"/>
      <c r="Q165" s="273"/>
      <c r="R165" s="55">
        <f t="shared" si="53"/>
        <v>8242500</v>
      </c>
      <c r="S165" s="65">
        <f t="shared" si="54"/>
        <v>0</v>
      </c>
      <c r="T165" s="32">
        <f t="shared" si="54"/>
        <v>4121250</v>
      </c>
      <c r="U165" s="32">
        <f t="shared" si="54"/>
        <v>4121250</v>
      </c>
      <c r="V165" s="65">
        <f t="shared" si="54"/>
        <v>0</v>
      </c>
      <c r="W165" s="55">
        <f t="shared" si="54"/>
        <v>0</v>
      </c>
      <c r="X165" s="117">
        <f t="shared" si="54"/>
        <v>0</v>
      </c>
    </row>
    <row r="166" spans="1:24" s="76" customFormat="1" ht="12.75">
      <c r="A166" s="214" t="s">
        <v>210</v>
      </c>
      <c r="B166" s="215"/>
      <c r="C166" s="215"/>
      <c r="D166" s="215"/>
      <c r="E166" s="215"/>
      <c r="F166" s="43"/>
      <c r="G166" s="217" t="s">
        <v>211</v>
      </c>
      <c r="H166" s="218"/>
      <c r="I166" s="218"/>
      <c r="J166" s="218"/>
      <c r="K166" s="218"/>
      <c r="L166" s="218"/>
      <c r="M166" s="218"/>
      <c r="N166" s="218"/>
      <c r="O166" s="218"/>
      <c r="P166" s="218"/>
      <c r="Q166" s="273"/>
      <c r="R166" s="55">
        <f t="shared" si="53"/>
        <v>8242500</v>
      </c>
      <c r="S166" s="65">
        <f t="shared" si="54"/>
        <v>0</v>
      </c>
      <c r="T166" s="32">
        <f t="shared" si="54"/>
        <v>4121250</v>
      </c>
      <c r="U166" s="32">
        <f t="shared" si="54"/>
        <v>4121250</v>
      </c>
      <c r="V166" s="65">
        <f t="shared" si="54"/>
        <v>0</v>
      </c>
      <c r="W166" s="55">
        <f t="shared" si="54"/>
        <v>0</v>
      </c>
      <c r="X166" s="117">
        <f t="shared" si="54"/>
        <v>0</v>
      </c>
    </row>
    <row r="167" spans="1:24" s="76" customFormat="1" ht="35.25" customHeight="1">
      <c r="A167" s="214" t="s">
        <v>212</v>
      </c>
      <c r="B167" s="215"/>
      <c r="C167" s="215"/>
      <c r="D167" s="215"/>
      <c r="E167" s="215"/>
      <c r="F167" s="43"/>
      <c r="G167" s="217" t="s">
        <v>213</v>
      </c>
      <c r="H167" s="218"/>
      <c r="I167" s="218"/>
      <c r="J167" s="218"/>
      <c r="K167" s="218"/>
      <c r="L167" s="218"/>
      <c r="M167" s="218"/>
      <c r="N167" s="218"/>
      <c r="O167" s="218"/>
      <c r="P167" s="218"/>
      <c r="Q167" s="273"/>
      <c r="R167" s="55">
        <f t="shared" si="53"/>
        <v>8242500</v>
      </c>
      <c r="S167" s="65">
        <f t="shared" si="54"/>
        <v>0</v>
      </c>
      <c r="T167" s="32">
        <f t="shared" si="54"/>
        <v>4121250</v>
      </c>
      <c r="U167" s="32">
        <f t="shared" si="54"/>
        <v>4121250</v>
      </c>
      <c r="V167" s="65">
        <f t="shared" si="54"/>
        <v>0</v>
      </c>
      <c r="W167" s="131">
        <f t="shared" si="54"/>
        <v>0</v>
      </c>
      <c r="X167" s="130">
        <f t="shared" si="54"/>
        <v>0</v>
      </c>
    </row>
    <row r="168" spans="1:24" s="76" customFormat="1" ht="12.75" hidden="1">
      <c r="A168" s="214" t="s">
        <v>214</v>
      </c>
      <c r="B168" s="215"/>
      <c r="C168" s="215"/>
      <c r="D168" s="215"/>
      <c r="E168" s="215"/>
      <c r="F168" s="43"/>
      <c r="G168" s="217" t="s">
        <v>41</v>
      </c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56">
        <f>S168+T168+U168+V168</f>
        <v>8242500</v>
      </c>
      <c r="S168" s="102">
        <v>0</v>
      </c>
      <c r="T168" s="103">
        <v>4121250</v>
      </c>
      <c r="U168" s="103">
        <v>4121250</v>
      </c>
      <c r="V168" s="102">
        <v>0</v>
      </c>
      <c r="W168" s="123">
        <v>0</v>
      </c>
      <c r="X168" s="120">
        <v>0</v>
      </c>
    </row>
    <row r="169" spans="1:24" ht="12.75">
      <c r="A169" s="200" t="s">
        <v>147</v>
      </c>
      <c r="B169" s="201"/>
      <c r="C169" s="201"/>
      <c r="D169" s="201"/>
      <c r="E169" s="201"/>
      <c r="F169" s="85"/>
      <c r="G169" s="249" t="s">
        <v>189</v>
      </c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  <c r="R169" s="38">
        <f>R170</f>
        <v>230300</v>
      </c>
      <c r="S169" s="64">
        <f aca="true" t="shared" si="55" ref="S169:X172">S170</f>
        <v>57575</v>
      </c>
      <c r="T169" s="30">
        <f t="shared" si="55"/>
        <v>57575</v>
      </c>
      <c r="U169" s="30">
        <f t="shared" si="55"/>
        <v>57575</v>
      </c>
      <c r="V169" s="64">
        <f t="shared" si="55"/>
        <v>57575</v>
      </c>
      <c r="W169" s="38">
        <f t="shared" si="55"/>
        <v>238800</v>
      </c>
      <c r="X169" s="114">
        <f t="shared" si="55"/>
        <v>244500</v>
      </c>
    </row>
    <row r="170" spans="1:24" ht="12.75">
      <c r="A170" s="205" t="s">
        <v>148</v>
      </c>
      <c r="B170" s="206"/>
      <c r="C170" s="206"/>
      <c r="D170" s="206"/>
      <c r="E170" s="206"/>
      <c r="F170" s="236"/>
      <c r="G170" s="267" t="s">
        <v>151</v>
      </c>
      <c r="H170" s="268"/>
      <c r="I170" s="268"/>
      <c r="J170" s="268"/>
      <c r="K170" s="268"/>
      <c r="L170" s="268"/>
      <c r="M170" s="268"/>
      <c r="N170" s="268"/>
      <c r="O170" s="268"/>
      <c r="P170" s="268"/>
      <c r="Q170" s="269"/>
      <c r="R170" s="53">
        <f>R171</f>
        <v>230300</v>
      </c>
      <c r="S170" s="88">
        <f t="shared" si="55"/>
        <v>57575</v>
      </c>
      <c r="T170" s="51">
        <f t="shared" si="55"/>
        <v>57575</v>
      </c>
      <c r="U170" s="51">
        <f t="shared" si="55"/>
        <v>57575</v>
      </c>
      <c r="V170" s="88">
        <f t="shared" si="55"/>
        <v>57575</v>
      </c>
      <c r="W170" s="53">
        <f t="shared" si="55"/>
        <v>238800</v>
      </c>
      <c r="X170" s="115">
        <f t="shared" si="55"/>
        <v>244500</v>
      </c>
    </row>
    <row r="171" spans="1:24" ht="24" customHeight="1">
      <c r="A171" s="209" t="s">
        <v>149</v>
      </c>
      <c r="B171" s="210"/>
      <c r="C171" s="210"/>
      <c r="D171" s="210"/>
      <c r="E171" s="210"/>
      <c r="F171" s="86"/>
      <c r="G171" s="251" t="s">
        <v>150</v>
      </c>
      <c r="H171" s="252"/>
      <c r="I171" s="252"/>
      <c r="J171" s="252"/>
      <c r="K171" s="252"/>
      <c r="L171" s="252"/>
      <c r="M171" s="252"/>
      <c r="N171" s="252"/>
      <c r="O171" s="252"/>
      <c r="P171" s="252"/>
      <c r="Q171" s="252"/>
      <c r="R171" s="54">
        <f>R172</f>
        <v>230300</v>
      </c>
      <c r="S171" s="90">
        <f t="shared" si="55"/>
        <v>57575</v>
      </c>
      <c r="T171" s="31">
        <f t="shared" si="55"/>
        <v>57575</v>
      </c>
      <c r="U171" s="31">
        <f t="shared" si="55"/>
        <v>57575</v>
      </c>
      <c r="V171" s="90">
        <f t="shared" si="55"/>
        <v>57575</v>
      </c>
      <c r="W171" s="54">
        <f t="shared" si="55"/>
        <v>238800</v>
      </c>
      <c r="X171" s="116">
        <f t="shared" si="55"/>
        <v>244500</v>
      </c>
    </row>
    <row r="172" spans="1:24" ht="24" customHeight="1">
      <c r="A172" s="214" t="s">
        <v>320</v>
      </c>
      <c r="B172" s="215"/>
      <c r="C172" s="215"/>
      <c r="D172" s="215"/>
      <c r="E172" s="215"/>
      <c r="F172" s="43"/>
      <c r="G172" s="217" t="s">
        <v>198</v>
      </c>
      <c r="H172" s="218"/>
      <c r="I172" s="218"/>
      <c r="J172" s="218"/>
      <c r="K172" s="218"/>
      <c r="L172" s="218"/>
      <c r="M172" s="218"/>
      <c r="N172" s="218"/>
      <c r="O172" s="218"/>
      <c r="P172" s="218"/>
      <c r="Q172" s="273"/>
      <c r="R172" s="55">
        <f>R173</f>
        <v>230300</v>
      </c>
      <c r="S172" s="65">
        <f t="shared" si="55"/>
        <v>57575</v>
      </c>
      <c r="T172" s="32">
        <f t="shared" si="55"/>
        <v>57575</v>
      </c>
      <c r="U172" s="32">
        <f t="shared" si="55"/>
        <v>57575</v>
      </c>
      <c r="V172" s="65">
        <f t="shared" si="55"/>
        <v>57575</v>
      </c>
      <c r="W172" s="55">
        <f t="shared" si="55"/>
        <v>238800</v>
      </c>
      <c r="X172" s="117">
        <f t="shared" si="55"/>
        <v>244500</v>
      </c>
    </row>
    <row r="173" spans="1:24" s="76" customFormat="1" ht="24" customHeight="1">
      <c r="A173" s="214" t="s">
        <v>321</v>
      </c>
      <c r="B173" s="215"/>
      <c r="C173" s="215"/>
      <c r="D173" s="215"/>
      <c r="E173" s="215"/>
      <c r="F173" s="43"/>
      <c r="G173" s="217" t="s">
        <v>200</v>
      </c>
      <c r="H173" s="218"/>
      <c r="I173" s="218"/>
      <c r="J173" s="218"/>
      <c r="K173" s="218"/>
      <c r="L173" s="218"/>
      <c r="M173" s="218"/>
      <c r="N173" s="218"/>
      <c r="O173" s="218"/>
      <c r="P173" s="218"/>
      <c r="Q173" s="273"/>
      <c r="R173" s="55">
        <f>R174+R177</f>
        <v>230300</v>
      </c>
      <c r="S173" s="65">
        <f aca="true" t="shared" si="56" ref="S173:X173">S174+S177</f>
        <v>57575</v>
      </c>
      <c r="T173" s="32">
        <f t="shared" si="56"/>
        <v>57575</v>
      </c>
      <c r="U173" s="32">
        <f t="shared" si="56"/>
        <v>57575</v>
      </c>
      <c r="V173" s="65">
        <f t="shared" si="56"/>
        <v>57575</v>
      </c>
      <c r="W173" s="55">
        <f t="shared" si="56"/>
        <v>238800</v>
      </c>
      <c r="X173" s="117">
        <f t="shared" si="56"/>
        <v>244500</v>
      </c>
    </row>
    <row r="174" spans="1:24" s="76" customFormat="1" ht="24" customHeight="1">
      <c r="A174" s="214" t="s">
        <v>324</v>
      </c>
      <c r="B174" s="215"/>
      <c r="C174" s="215"/>
      <c r="D174" s="215"/>
      <c r="E174" s="215"/>
      <c r="F174" s="43"/>
      <c r="G174" s="217" t="s">
        <v>327</v>
      </c>
      <c r="H174" s="218"/>
      <c r="I174" s="218"/>
      <c r="J174" s="218"/>
      <c r="K174" s="218"/>
      <c r="L174" s="218"/>
      <c r="M174" s="218"/>
      <c r="N174" s="218"/>
      <c r="O174" s="218"/>
      <c r="P174" s="218"/>
      <c r="Q174" s="273"/>
      <c r="R174" s="55">
        <f>R175+R176</f>
        <v>150300</v>
      </c>
      <c r="S174" s="65">
        <f aca="true" t="shared" si="57" ref="S174:X174">S175+S176</f>
        <v>37575</v>
      </c>
      <c r="T174" s="32">
        <f t="shared" si="57"/>
        <v>37575</v>
      </c>
      <c r="U174" s="32">
        <f t="shared" si="57"/>
        <v>37575</v>
      </c>
      <c r="V174" s="65">
        <f t="shared" si="57"/>
        <v>37575</v>
      </c>
      <c r="W174" s="55">
        <f t="shared" si="57"/>
        <v>158800</v>
      </c>
      <c r="X174" s="117">
        <f t="shared" si="57"/>
        <v>159500</v>
      </c>
    </row>
    <row r="175" spans="1:24" ht="12.75" hidden="1">
      <c r="A175" s="214" t="s">
        <v>325</v>
      </c>
      <c r="B175" s="215"/>
      <c r="C175" s="215"/>
      <c r="D175" s="215"/>
      <c r="E175" s="215"/>
      <c r="F175" s="43"/>
      <c r="G175" s="217" t="s">
        <v>42</v>
      </c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56">
        <f>S175+T175+U175+V175</f>
        <v>146300</v>
      </c>
      <c r="S175" s="102">
        <f>36575</f>
        <v>36575</v>
      </c>
      <c r="T175" s="103">
        <f>36575</f>
        <v>36575</v>
      </c>
      <c r="U175" s="103">
        <f>36575</f>
        <v>36575</v>
      </c>
      <c r="V175" s="102">
        <f>36575</f>
        <v>36575</v>
      </c>
      <c r="W175" s="123">
        <v>154800</v>
      </c>
      <c r="X175" s="120">
        <v>155500</v>
      </c>
    </row>
    <row r="176" spans="1:24" ht="12.75" hidden="1">
      <c r="A176" s="214" t="s">
        <v>326</v>
      </c>
      <c r="B176" s="215"/>
      <c r="C176" s="215"/>
      <c r="D176" s="215"/>
      <c r="E176" s="215"/>
      <c r="F176" s="43"/>
      <c r="G176" s="217" t="s">
        <v>71</v>
      </c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56">
        <f>S176+T176+U176+V176</f>
        <v>4000</v>
      </c>
      <c r="S176" s="102">
        <f>1000</f>
        <v>1000</v>
      </c>
      <c r="T176" s="103">
        <f>1000</f>
        <v>1000</v>
      </c>
      <c r="U176" s="103">
        <f>1000</f>
        <v>1000</v>
      </c>
      <c r="V176" s="102">
        <f>1000</f>
        <v>1000</v>
      </c>
      <c r="W176" s="123">
        <v>4000</v>
      </c>
      <c r="X176" s="120">
        <v>4000</v>
      </c>
    </row>
    <row r="177" spans="1:24" s="76" customFormat="1" ht="24" customHeight="1">
      <c r="A177" s="214" t="s">
        <v>322</v>
      </c>
      <c r="B177" s="215"/>
      <c r="C177" s="215"/>
      <c r="D177" s="215"/>
      <c r="E177" s="215"/>
      <c r="F177" s="43"/>
      <c r="G177" s="217" t="s">
        <v>202</v>
      </c>
      <c r="H177" s="218"/>
      <c r="I177" s="218"/>
      <c r="J177" s="218"/>
      <c r="K177" s="218"/>
      <c r="L177" s="218"/>
      <c r="M177" s="218"/>
      <c r="N177" s="218"/>
      <c r="O177" s="218"/>
      <c r="P177" s="218"/>
      <c r="Q177" s="273"/>
      <c r="R177" s="55">
        <f>R178</f>
        <v>80000</v>
      </c>
      <c r="S177" s="65">
        <f aca="true" t="shared" si="58" ref="S177:X177">S178</f>
        <v>20000</v>
      </c>
      <c r="T177" s="32">
        <f t="shared" si="58"/>
        <v>20000</v>
      </c>
      <c r="U177" s="32">
        <f t="shared" si="58"/>
        <v>20000</v>
      </c>
      <c r="V177" s="65">
        <f t="shared" si="58"/>
        <v>20000</v>
      </c>
      <c r="W177" s="131">
        <f t="shared" si="58"/>
        <v>80000</v>
      </c>
      <c r="X177" s="130">
        <f t="shared" si="58"/>
        <v>85000</v>
      </c>
    </row>
    <row r="178" spans="1:24" ht="12.75" hidden="1">
      <c r="A178" s="214" t="s">
        <v>323</v>
      </c>
      <c r="B178" s="215"/>
      <c r="C178" s="215"/>
      <c r="D178" s="215"/>
      <c r="E178" s="215"/>
      <c r="F178" s="43"/>
      <c r="G178" s="217" t="s">
        <v>38</v>
      </c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56">
        <f>S178+T178+U178+V178</f>
        <v>80000</v>
      </c>
      <c r="S178" s="102">
        <f>20000</f>
        <v>20000</v>
      </c>
      <c r="T178" s="103">
        <f>20000</f>
        <v>20000</v>
      </c>
      <c r="U178" s="103">
        <f>20000</f>
        <v>20000</v>
      </c>
      <c r="V178" s="102">
        <f>20000</f>
        <v>20000</v>
      </c>
      <c r="W178" s="123">
        <v>80000</v>
      </c>
      <c r="X178" s="120">
        <v>85000</v>
      </c>
    </row>
    <row r="179" spans="1:24" ht="16.5" customHeight="1" hidden="1">
      <c r="A179" s="200" t="s">
        <v>179</v>
      </c>
      <c r="B179" s="201"/>
      <c r="C179" s="201"/>
      <c r="D179" s="201"/>
      <c r="E179" s="201"/>
      <c r="F179" s="85"/>
      <c r="G179" s="249" t="s">
        <v>182</v>
      </c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  <c r="R179" s="38">
        <f aca="true" t="shared" si="59" ref="R179:X181">R180</f>
        <v>0</v>
      </c>
      <c r="S179" s="64">
        <f t="shared" si="59"/>
        <v>0</v>
      </c>
      <c r="T179" s="30">
        <f t="shared" si="59"/>
        <v>0</v>
      </c>
      <c r="U179" s="30">
        <f t="shared" si="59"/>
        <v>0</v>
      </c>
      <c r="V179" s="64">
        <f t="shared" si="59"/>
        <v>0</v>
      </c>
      <c r="W179" s="38">
        <f t="shared" si="59"/>
        <v>0</v>
      </c>
      <c r="X179" s="114">
        <f t="shared" si="59"/>
        <v>0</v>
      </c>
    </row>
    <row r="180" spans="1:24" ht="19.5" customHeight="1" hidden="1">
      <c r="A180" s="205" t="s">
        <v>180</v>
      </c>
      <c r="B180" s="206"/>
      <c r="C180" s="206"/>
      <c r="D180" s="206"/>
      <c r="E180" s="206"/>
      <c r="F180" s="236"/>
      <c r="G180" s="247" t="s">
        <v>183</v>
      </c>
      <c r="H180" s="248"/>
      <c r="I180" s="248"/>
      <c r="J180" s="248"/>
      <c r="K180" s="248"/>
      <c r="L180" s="248"/>
      <c r="M180" s="248"/>
      <c r="N180" s="248"/>
      <c r="O180" s="248"/>
      <c r="P180" s="248"/>
      <c r="Q180" s="248"/>
      <c r="R180" s="53">
        <f t="shared" si="59"/>
        <v>0</v>
      </c>
      <c r="S180" s="88">
        <f t="shared" si="59"/>
        <v>0</v>
      </c>
      <c r="T180" s="51">
        <f t="shared" si="59"/>
        <v>0</v>
      </c>
      <c r="U180" s="51">
        <f t="shared" si="59"/>
        <v>0</v>
      </c>
      <c r="V180" s="88">
        <f t="shared" si="59"/>
        <v>0</v>
      </c>
      <c r="W180" s="53">
        <f t="shared" si="59"/>
        <v>0</v>
      </c>
      <c r="X180" s="115">
        <f t="shared" si="59"/>
        <v>0</v>
      </c>
    </row>
    <row r="181" spans="1:24" ht="39" customHeight="1" hidden="1">
      <c r="A181" s="209" t="s">
        <v>181</v>
      </c>
      <c r="B181" s="210"/>
      <c r="C181" s="210"/>
      <c r="D181" s="210"/>
      <c r="E181" s="210"/>
      <c r="F181" s="86"/>
      <c r="G181" s="251" t="s">
        <v>184</v>
      </c>
      <c r="H181" s="252"/>
      <c r="I181" s="252"/>
      <c r="J181" s="252"/>
      <c r="K181" s="252"/>
      <c r="L181" s="252"/>
      <c r="M181" s="252"/>
      <c r="N181" s="252"/>
      <c r="O181" s="252"/>
      <c r="P181" s="252"/>
      <c r="Q181" s="252"/>
      <c r="R181" s="54">
        <f t="shared" si="59"/>
        <v>0</v>
      </c>
      <c r="S181" s="90">
        <f t="shared" si="59"/>
        <v>0</v>
      </c>
      <c r="T181" s="31">
        <f t="shared" si="59"/>
        <v>0</v>
      </c>
      <c r="U181" s="31">
        <f t="shared" si="59"/>
        <v>0</v>
      </c>
      <c r="V181" s="90">
        <f t="shared" si="59"/>
        <v>0</v>
      </c>
      <c r="W181" s="54">
        <f t="shared" si="59"/>
        <v>0</v>
      </c>
      <c r="X181" s="116">
        <f t="shared" si="59"/>
        <v>0</v>
      </c>
    </row>
    <row r="182" spans="1:24" ht="16.5" customHeight="1" hidden="1">
      <c r="A182" s="214" t="s">
        <v>328</v>
      </c>
      <c r="B182" s="215"/>
      <c r="C182" s="215"/>
      <c r="D182" s="215"/>
      <c r="E182" s="215"/>
      <c r="F182" s="43"/>
      <c r="G182" s="173" t="s">
        <v>32</v>
      </c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  <c r="R182" s="55">
        <f>S182+T182+U182+V182</f>
        <v>0</v>
      </c>
      <c r="S182" s="65">
        <f aca="true" t="shared" si="60" ref="S182:X182">SUM(S183:S185)</f>
        <v>0</v>
      </c>
      <c r="T182" s="32">
        <f t="shared" si="60"/>
        <v>0</v>
      </c>
      <c r="U182" s="32">
        <f t="shared" si="60"/>
        <v>0</v>
      </c>
      <c r="V182" s="65">
        <f t="shared" si="60"/>
        <v>0</v>
      </c>
      <c r="W182" s="55">
        <f t="shared" si="60"/>
        <v>0</v>
      </c>
      <c r="X182" s="117">
        <f t="shared" si="60"/>
        <v>0</v>
      </c>
    </row>
    <row r="183" spans="1:24" ht="16.5" customHeight="1" hidden="1">
      <c r="A183" s="214" t="s">
        <v>329</v>
      </c>
      <c r="B183" s="215"/>
      <c r="C183" s="215"/>
      <c r="D183" s="215"/>
      <c r="E183" s="215"/>
      <c r="F183" s="43"/>
      <c r="G183" s="217" t="s">
        <v>38</v>
      </c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56">
        <f>S183+T183+U183+V183</f>
        <v>0</v>
      </c>
      <c r="S183" s="91">
        <v>0</v>
      </c>
      <c r="T183" s="33">
        <v>0</v>
      </c>
      <c r="U183" s="33">
        <v>0</v>
      </c>
      <c r="V183" s="91">
        <v>0</v>
      </c>
      <c r="W183" s="56">
        <v>0</v>
      </c>
      <c r="X183" s="119">
        <v>0</v>
      </c>
    </row>
    <row r="184" spans="1:24" ht="16.5" customHeight="1" hidden="1">
      <c r="A184" s="214" t="s">
        <v>330</v>
      </c>
      <c r="B184" s="215"/>
      <c r="C184" s="215"/>
      <c r="D184" s="215"/>
      <c r="E184" s="215"/>
      <c r="F184" s="43"/>
      <c r="G184" s="217" t="s">
        <v>42</v>
      </c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56">
        <f>S184+T184+U184+V184</f>
        <v>0</v>
      </c>
      <c r="S184" s="91">
        <v>0</v>
      </c>
      <c r="T184" s="33">
        <v>0</v>
      </c>
      <c r="U184" s="33">
        <v>0</v>
      </c>
      <c r="V184" s="91">
        <v>0</v>
      </c>
      <c r="W184" s="123">
        <v>0</v>
      </c>
      <c r="X184" s="120">
        <v>0</v>
      </c>
    </row>
    <row r="185" spans="1:24" ht="16.5" customHeight="1" hidden="1">
      <c r="A185" s="214" t="s">
        <v>331</v>
      </c>
      <c r="B185" s="215"/>
      <c r="C185" s="215"/>
      <c r="D185" s="215"/>
      <c r="E185" s="215"/>
      <c r="F185" s="43"/>
      <c r="G185" s="217" t="s">
        <v>71</v>
      </c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56">
        <f>S185+T185+U185+V185</f>
        <v>0</v>
      </c>
      <c r="S185" s="102">
        <v>0</v>
      </c>
      <c r="T185" s="103">
        <v>0</v>
      </c>
      <c r="U185" s="103">
        <v>0</v>
      </c>
      <c r="V185" s="102">
        <v>0</v>
      </c>
      <c r="W185" s="123">
        <v>0</v>
      </c>
      <c r="X185" s="120">
        <v>0</v>
      </c>
    </row>
    <row r="186" spans="1:24" s="4" customFormat="1" ht="12.75">
      <c r="A186" s="200" t="s">
        <v>125</v>
      </c>
      <c r="B186" s="201"/>
      <c r="C186" s="201"/>
      <c r="D186" s="201"/>
      <c r="E186" s="201"/>
      <c r="F186" s="202"/>
      <c r="G186" s="203" t="s">
        <v>49</v>
      </c>
      <c r="H186" s="204"/>
      <c r="I186" s="204"/>
      <c r="J186" s="204"/>
      <c r="K186" s="204"/>
      <c r="L186" s="204"/>
      <c r="M186" s="204"/>
      <c r="N186" s="204"/>
      <c r="O186" s="204"/>
      <c r="P186" s="204"/>
      <c r="Q186" s="204"/>
      <c r="R186" s="38">
        <f>R187</f>
        <v>349900</v>
      </c>
      <c r="S186" s="64">
        <f aca="true" t="shared" si="61" ref="S186:X190">S187</f>
        <v>87475</v>
      </c>
      <c r="T186" s="30">
        <f t="shared" si="61"/>
        <v>87475</v>
      </c>
      <c r="U186" s="30">
        <f t="shared" si="61"/>
        <v>87475</v>
      </c>
      <c r="V186" s="64">
        <f t="shared" si="61"/>
        <v>87475</v>
      </c>
      <c r="W186" s="38">
        <f t="shared" si="61"/>
        <v>362800</v>
      </c>
      <c r="X186" s="114">
        <f t="shared" si="61"/>
        <v>371500</v>
      </c>
    </row>
    <row r="187" spans="1:24" s="3" customFormat="1" ht="12.75">
      <c r="A187" s="205" t="s">
        <v>333</v>
      </c>
      <c r="B187" s="206"/>
      <c r="C187" s="206"/>
      <c r="D187" s="206"/>
      <c r="E187" s="206"/>
      <c r="F187" s="236"/>
      <c r="G187" s="207" t="s">
        <v>332</v>
      </c>
      <c r="H187" s="208"/>
      <c r="I187" s="208"/>
      <c r="J187" s="208"/>
      <c r="K187" s="208"/>
      <c r="L187" s="208"/>
      <c r="M187" s="208"/>
      <c r="N187" s="208"/>
      <c r="O187" s="208"/>
      <c r="P187" s="208"/>
      <c r="Q187" s="208"/>
      <c r="R187" s="53">
        <f>R188</f>
        <v>349900</v>
      </c>
      <c r="S187" s="88">
        <f t="shared" si="61"/>
        <v>87475</v>
      </c>
      <c r="T187" s="51">
        <f t="shared" si="61"/>
        <v>87475</v>
      </c>
      <c r="U187" s="51">
        <f t="shared" si="61"/>
        <v>87475</v>
      </c>
      <c r="V187" s="88">
        <f t="shared" si="61"/>
        <v>87475</v>
      </c>
      <c r="W187" s="53">
        <f t="shared" si="61"/>
        <v>362800</v>
      </c>
      <c r="X187" s="115">
        <f t="shared" si="61"/>
        <v>371500</v>
      </c>
    </row>
    <row r="188" spans="1:24" s="3" customFormat="1" ht="13.5" customHeight="1">
      <c r="A188" s="209" t="s">
        <v>126</v>
      </c>
      <c r="B188" s="210"/>
      <c r="C188" s="210"/>
      <c r="D188" s="210"/>
      <c r="E188" s="210"/>
      <c r="F188" s="211"/>
      <c r="G188" s="212" t="s">
        <v>90</v>
      </c>
      <c r="H188" s="213"/>
      <c r="I188" s="213"/>
      <c r="J188" s="213"/>
      <c r="K188" s="213"/>
      <c r="L188" s="213"/>
      <c r="M188" s="213"/>
      <c r="N188" s="213"/>
      <c r="O188" s="213"/>
      <c r="P188" s="213"/>
      <c r="Q188" s="213"/>
      <c r="R188" s="54">
        <f>R189</f>
        <v>349900</v>
      </c>
      <c r="S188" s="90">
        <f t="shared" si="61"/>
        <v>87475</v>
      </c>
      <c r="T188" s="31">
        <f t="shared" si="61"/>
        <v>87475</v>
      </c>
      <c r="U188" s="31">
        <f t="shared" si="61"/>
        <v>87475</v>
      </c>
      <c r="V188" s="90">
        <f t="shared" si="61"/>
        <v>87475</v>
      </c>
      <c r="W188" s="54">
        <f t="shared" si="61"/>
        <v>362800</v>
      </c>
      <c r="X188" s="116">
        <f t="shared" si="61"/>
        <v>371500</v>
      </c>
    </row>
    <row r="189" spans="1:24" ht="24" customHeight="1">
      <c r="A189" s="214" t="s">
        <v>334</v>
      </c>
      <c r="B189" s="215"/>
      <c r="C189" s="215"/>
      <c r="D189" s="215"/>
      <c r="E189" s="215"/>
      <c r="F189" s="43"/>
      <c r="G189" s="217" t="s">
        <v>198</v>
      </c>
      <c r="H189" s="218"/>
      <c r="I189" s="218"/>
      <c r="J189" s="218"/>
      <c r="K189" s="218"/>
      <c r="L189" s="218"/>
      <c r="M189" s="218"/>
      <c r="N189" s="218"/>
      <c r="O189" s="218"/>
      <c r="P189" s="218"/>
      <c r="Q189" s="273"/>
      <c r="R189" s="55">
        <f>R190</f>
        <v>349900</v>
      </c>
      <c r="S189" s="65">
        <f t="shared" si="61"/>
        <v>87475</v>
      </c>
      <c r="T189" s="32">
        <f t="shared" si="61"/>
        <v>87475</v>
      </c>
      <c r="U189" s="32">
        <f t="shared" si="61"/>
        <v>87475</v>
      </c>
      <c r="V189" s="65">
        <f t="shared" si="61"/>
        <v>87475</v>
      </c>
      <c r="W189" s="55">
        <f t="shared" si="61"/>
        <v>362800</v>
      </c>
      <c r="X189" s="117">
        <f t="shared" si="61"/>
        <v>371500</v>
      </c>
    </row>
    <row r="190" spans="1:24" s="76" customFormat="1" ht="24" customHeight="1">
      <c r="A190" s="214" t="s">
        <v>335</v>
      </c>
      <c r="B190" s="215"/>
      <c r="C190" s="215"/>
      <c r="D190" s="215"/>
      <c r="E190" s="215"/>
      <c r="F190" s="43"/>
      <c r="G190" s="217" t="s">
        <v>200</v>
      </c>
      <c r="H190" s="218"/>
      <c r="I190" s="218"/>
      <c r="J190" s="218"/>
      <c r="K190" s="218"/>
      <c r="L190" s="218"/>
      <c r="M190" s="218"/>
      <c r="N190" s="218"/>
      <c r="O190" s="218"/>
      <c r="P190" s="218"/>
      <c r="Q190" s="273"/>
      <c r="R190" s="55">
        <f>R191</f>
        <v>349900</v>
      </c>
      <c r="S190" s="65">
        <f t="shared" si="61"/>
        <v>87475</v>
      </c>
      <c r="T190" s="32">
        <f t="shared" si="61"/>
        <v>87475</v>
      </c>
      <c r="U190" s="32">
        <f t="shared" si="61"/>
        <v>87475</v>
      </c>
      <c r="V190" s="65">
        <f t="shared" si="61"/>
        <v>87475</v>
      </c>
      <c r="W190" s="55">
        <f t="shared" si="61"/>
        <v>362800</v>
      </c>
      <c r="X190" s="117">
        <f t="shared" si="61"/>
        <v>371500</v>
      </c>
    </row>
    <row r="191" spans="1:24" s="76" customFormat="1" ht="24" customHeight="1">
      <c r="A191" s="214" t="s">
        <v>336</v>
      </c>
      <c r="B191" s="215"/>
      <c r="C191" s="215"/>
      <c r="D191" s="215"/>
      <c r="E191" s="215"/>
      <c r="F191" s="43"/>
      <c r="G191" s="217" t="s">
        <v>202</v>
      </c>
      <c r="H191" s="218"/>
      <c r="I191" s="218"/>
      <c r="J191" s="218"/>
      <c r="K191" s="218"/>
      <c r="L191" s="218"/>
      <c r="M191" s="218"/>
      <c r="N191" s="218"/>
      <c r="O191" s="218"/>
      <c r="P191" s="218"/>
      <c r="Q191" s="273"/>
      <c r="R191" s="55">
        <f>SUM(R192:R196)</f>
        <v>349900</v>
      </c>
      <c r="S191" s="65">
        <f aca="true" t="shared" si="62" ref="S191:X191">SUM(S192:S196)</f>
        <v>87475</v>
      </c>
      <c r="T191" s="32">
        <f t="shared" si="62"/>
        <v>87475</v>
      </c>
      <c r="U191" s="32">
        <f t="shared" si="62"/>
        <v>87475</v>
      </c>
      <c r="V191" s="65">
        <f t="shared" si="62"/>
        <v>87475</v>
      </c>
      <c r="W191" s="131">
        <f t="shared" si="62"/>
        <v>362800</v>
      </c>
      <c r="X191" s="130">
        <f t="shared" si="62"/>
        <v>371500</v>
      </c>
    </row>
    <row r="192" spans="1:24" ht="12.75" hidden="1">
      <c r="A192" s="214" t="s">
        <v>337</v>
      </c>
      <c r="B192" s="215"/>
      <c r="C192" s="215"/>
      <c r="D192" s="215"/>
      <c r="E192" s="215"/>
      <c r="F192" s="216"/>
      <c r="G192" s="217" t="s">
        <v>41</v>
      </c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56">
        <f>SUM(S192:V192)</f>
        <v>189900</v>
      </c>
      <c r="S192" s="102">
        <f>47475</f>
        <v>47475</v>
      </c>
      <c r="T192" s="103">
        <f>47475</f>
        <v>47475</v>
      </c>
      <c r="U192" s="103">
        <f>47475</f>
        <v>47475</v>
      </c>
      <c r="V192" s="102">
        <f>47475</f>
        <v>47475</v>
      </c>
      <c r="W192" s="123">
        <v>202800</v>
      </c>
      <c r="X192" s="120">
        <v>211500</v>
      </c>
    </row>
    <row r="193" spans="1:24" ht="12.75" hidden="1">
      <c r="A193" s="214" t="s">
        <v>338</v>
      </c>
      <c r="B193" s="215"/>
      <c r="C193" s="215"/>
      <c r="D193" s="215"/>
      <c r="E193" s="215"/>
      <c r="F193" s="216"/>
      <c r="G193" s="217" t="s">
        <v>42</v>
      </c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56">
        <f>SUM(S193:V193)</f>
        <v>130000</v>
      </c>
      <c r="S193" s="102">
        <f>32500</f>
        <v>32500</v>
      </c>
      <c r="T193" s="103">
        <f>32500</f>
        <v>32500</v>
      </c>
      <c r="U193" s="103">
        <f>32500</f>
        <v>32500</v>
      </c>
      <c r="V193" s="102">
        <f>32500</f>
        <v>32500</v>
      </c>
      <c r="W193" s="123">
        <v>130000</v>
      </c>
      <c r="X193" s="120">
        <v>130000</v>
      </c>
    </row>
    <row r="194" spans="1:24" ht="12.75" hidden="1">
      <c r="A194" s="214" t="s">
        <v>339</v>
      </c>
      <c r="B194" s="215"/>
      <c r="C194" s="215"/>
      <c r="D194" s="215"/>
      <c r="E194" s="215"/>
      <c r="F194" s="216"/>
      <c r="G194" s="217" t="s">
        <v>72</v>
      </c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56">
        <f>SUM(S194:V194)</f>
        <v>0</v>
      </c>
      <c r="S194" s="102">
        <v>0</v>
      </c>
      <c r="T194" s="103">
        <v>0</v>
      </c>
      <c r="U194" s="103">
        <v>0</v>
      </c>
      <c r="V194" s="102">
        <v>0</v>
      </c>
      <c r="W194" s="123">
        <v>0</v>
      </c>
      <c r="X194" s="120">
        <v>0</v>
      </c>
    </row>
    <row r="195" spans="1:24" ht="12.75" hidden="1">
      <c r="A195" s="214" t="s">
        <v>340</v>
      </c>
      <c r="B195" s="215"/>
      <c r="C195" s="215"/>
      <c r="D195" s="215"/>
      <c r="E195" s="215"/>
      <c r="F195" s="216"/>
      <c r="G195" s="217" t="s">
        <v>43</v>
      </c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56">
        <f>SUM(S195:V195)</f>
        <v>0</v>
      </c>
      <c r="S195" s="102">
        <v>0</v>
      </c>
      <c r="T195" s="103">
        <v>0</v>
      </c>
      <c r="U195" s="103">
        <v>0</v>
      </c>
      <c r="V195" s="102">
        <v>0</v>
      </c>
      <c r="W195" s="123">
        <v>0</v>
      </c>
      <c r="X195" s="120">
        <v>0</v>
      </c>
    </row>
    <row r="196" spans="1:24" ht="12.75" hidden="1">
      <c r="A196" s="214" t="s">
        <v>341</v>
      </c>
      <c r="B196" s="215"/>
      <c r="C196" s="215"/>
      <c r="D196" s="215"/>
      <c r="E196" s="215"/>
      <c r="F196" s="216"/>
      <c r="G196" s="173" t="s">
        <v>71</v>
      </c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  <c r="R196" s="56">
        <f>SUM(S196:V196)</f>
        <v>30000</v>
      </c>
      <c r="S196" s="102">
        <f>7500</f>
        <v>7500</v>
      </c>
      <c r="T196" s="103">
        <f>7500</f>
        <v>7500</v>
      </c>
      <c r="U196" s="103">
        <f>7500</f>
        <v>7500</v>
      </c>
      <c r="V196" s="102">
        <f>7500</f>
        <v>7500</v>
      </c>
      <c r="W196" s="123">
        <v>30000</v>
      </c>
      <c r="X196" s="120">
        <v>30000</v>
      </c>
    </row>
    <row r="197" spans="1:24" s="4" customFormat="1" ht="15.75" customHeight="1" hidden="1">
      <c r="A197" s="200" t="s">
        <v>127</v>
      </c>
      <c r="B197" s="201"/>
      <c r="C197" s="201"/>
      <c r="D197" s="201"/>
      <c r="E197" s="201"/>
      <c r="F197" s="202"/>
      <c r="G197" s="203" t="s">
        <v>93</v>
      </c>
      <c r="H197" s="204"/>
      <c r="I197" s="204"/>
      <c r="J197" s="204"/>
      <c r="K197" s="204"/>
      <c r="L197" s="204"/>
      <c r="M197" s="204"/>
      <c r="N197" s="204"/>
      <c r="O197" s="204"/>
      <c r="P197" s="204"/>
      <c r="Q197" s="204"/>
      <c r="R197" s="38">
        <f>R198</f>
        <v>0</v>
      </c>
      <c r="S197" s="64">
        <f aca="true" t="shared" si="63" ref="S197:X199">S198</f>
        <v>0</v>
      </c>
      <c r="T197" s="30">
        <f t="shared" si="63"/>
        <v>0</v>
      </c>
      <c r="U197" s="30">
        <f t="shared" si="63"/>
        <v>0</v>
      </c>
      <c r="V197" s="64">
        <f t="shared" si="63"/>
        <v>0</v>
      </c>
      <c r="W197" s="141">
        <f t="shared" si="63"/>
        <v>0</v>
      </c>
      <c r="X197" s="144">
        <f t="shared" si="63"/>
        <v>0</v>
      </c>
    </row>
    <row r="198" spans="1:24" s="3" customFormat="1" ht="15.75" customHeight="1" hidden="1">
      <c r="A198" s="205" t="s">
        <v>128</v>
      </c>
      <c r="B198" s="206"/>
      <c r="C198" s="206"/>
      <c r="D198" s="206"/>
      <c r="E198" s="206"/>
      <c r="F198" s="236"/>
      <c r="G198" s="207" t="s">
        <v>98</v>
      </c>
      <c r="H198" s="208"/>
      <c r="I198" s="208"/>
      <c r="J198" s="208"/>
      <c r="K198" s="208"/>
      <c r="L198" s="208"/>
      <c r="M198" s="208"/>
      <c r="N198" s="208"/>
      <c r="O198" s="208"/>
      <c r="P198" s="208"/>
      <c r="Q198" s="208"/>
      <c r="R198" s="53">
        <f>R199</f>
        <v>0</v>
      </c>
      <c r="S198" s="88">
        <f t="shared" si="63"/>
        <v>0</v>
      </c>
      <c r="T198" s="51">
        <f t="shared" si="63"/>
        <v>0</v>
      </c>
      <c r="U198" s="51">
        <f t="shared" si="63"/>
        <v>0</v>
      </c>
      <c r="V198" s="88">
        <f t="shared" si="63"/>
        <v>0</v>
      </c>
      <c r="W198" s="142">
        <f t="shared" si="63"/>
        <v>0</v>
      </c>
      <c r="X198" s="145">
        <f t="shared" si="63"/>
        <v>0</v>
      </c>
    </row>
    <row r="199" spans="1:24" s="3" customFormat="1" ht="13.5" customHeight="1" hidden="1">
      <c r="A199" s="209" t="s">
        <v>129</v>
      </c>
      <c r="B199" s="210"/>
      <c r="C199" s="210"/>
      <c r="D199" s="210"/>
      <c r="E199" s="210"/>
      <c r="F199" s="211"/>
      <c r="G199" s="212" t="s">
        <v>94</v>
      </c>
      <c r="H199" s="213"/>
      <c r="I199" s="213"/>
      <c r="J199" s="213"/>
      <c r="K199" s="213"/>
      <c r="L199" s="213"/>
      <c r="M199" s="213"/>
      <c r="N199" s="213"/>
      <c r="O199" s="213"/>
      <c r="P199" s="213"/>
      <c r="Q199" s="213"/>
      <c r="R199" s="54">
        <f>R200</f>
        <v>0</v>
      </c>
      <c r="S199" s="90">
        <f t="shared" si="63"/>
        <v>0</v>
      </c>
      <c r="T199" s="31">
        <f t="shared" si="63"/>
        <v>0</v>
      </c>
      <c r="U199" s="31">
        <f t="shared" si="63"/>
        <v>0</v>
      </c>
      <c r="V199" s="90">
        <f t="shared" si="63"/>
        <v>0</v>
      </c>
      <c r="W199" s="143">
        <f t="shared" si="63"/>
        <v>0</v>
      </c>
      <c r="X199" s="146">
        <f t="shared" si="63"/>
        <v>0</v>
      </c>
    </row>
    <row r="200" spans="1:24" ht="15" customHeight="1" hidden="1">
      <c r="A200" s="214" t="s">
        <v>342</v>
      </c>
      <c r="B200" s="215"/>
      <c r="C200" s="215"/>
      <c r="D200" s="215"/>
      <c r="E200" s="215"/>
      <c r="F200" s="216"/>
      <c r="G200" s="217" t="s">
        <v>95</v>
      </c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55">
        <f aca="true" t="shared" si="64" ref="R200:X200">SUM(R201:R201)</f>
        <v>0</v>
      </c>
      <c r="S200" s="65">
        <f t="shared" si="64"/>
        <v>0</v>
      </c>
      <c r="T200" s="32">
        <f t="shared" si="64"/>
        <v>0</v>
      </c>
      <c r="U200" s="32">
        <f t="shared" si="64"/>
        <v>0</v>
      </c>
      <c r="V200" s="65">
        <f t="shared" si="64"/>
        <v>0</v>
      </c>
      <c r="W200" s="131">
        <f t="shared" si="64"/>
        <v>0</v>
      </c>
      <c r="X200" s="130">
        <f t="shared" si="64"/>
        <v>0</v>
      </c>
    </row>
    <row r="201" spans="1:24" ht="24.75" customHeight="1" hidden="1">
      <c r="A201" s="214" t="s">
        <v>343</v>
      </c>
      <c r="B201" s="215"/>
      <c r="C201" s="215"/>
      <c r="D201" s="215"/>
      <c r="E201" s="215"/>
      <c r="F201" s="216"/>
      <c r="G201" s="217" t="s">
        <v>97</v>
      </c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56">
        <f>SUM(S201:V201)</f>
        <v>0</v>
      </c>
      <c r="S201" s="91"/>
      <c r="T201" s="33"/>
      <c r="U201" s="33"/>
      <c r="V201" s="91"/>
      <c r="W201" s="123">
        <v>0</v>
      </c>
      <c r="X201" s="120">
        <v>0</v>
      </c>
    </row>
    <row r="202" spans="1:24" s="4" customFormat="1" ht="12.75">
      <c r="A202" s="200" t="s">
        <v>130</v>
      </c>
      <c r="B202" s="201"/>
      <c r="C202" s="201"/>
      <c r="D202" s="201"/>
      <c r="E202" s="201"/>
      <c r="F202" s="202"/>
      <c r="G202" s="203" t="s">
        <v>51</v>
      </c>
      <c r="H202" s="204"/>
      <c r="I202" s="204"/>
      <c r="J202" s="204"/>
      <c r="K202" s="204"/>
      <c r="L202" s="204"/>
      <c r="M202" s="204"/>
      <c r="N202" s="204"/>
      <c r="O202" s="204"/>
      <c r="P202" s="204"/>
      <c r="Q202" s="204"/>
      <c r="R202" s="38">
        <f aca="true" t="shared" si="65" ref="R202:X202">R204+R213+R219+R224+R232</f>
        <v>1940400</v>
      </c>
      <c r="S202" s="64">
        <f t="shared" si="65"/>
        <v>549500</v>
      </c>
      <c r="T202" s="30">
        <f t="shared" si="65"/>
        <v>469000</v>
      </c>
      <c r="U202" s="30">
        <f t="shared" si="65"/>
        <v>382000</v>
      </c>
      <c r="V202" s="64">
        <f t="shared" si="65"/>
        <v>539900</v>
      </c>
      <c r="W202" s="141">
        <f t="shared" si="65"/>
        <v>2012200</v>
      </c>
      <c r="X202" s="144">
        <f t="shared" si="65"/>
        <v>2060600</v>
      </c>
    </row>
    <row r="203" spans="1:24" s="49" customFormat="1" ht="12.75">
      <c r="A203" s="205" t="s">
        <v>132</v>
      </c>
      <c r="B203" s="206"/>
      <c r="C203" s="206"/>
      <c r="D203" s="206"/>
      <c r="E203" s="206"/>
      <c r="F203" s="47"/>
      <c r="G203" s="207" t="s">
        <v>51</v>
      </c>
      <c r="H203" s="208"/>
      <c r="I203" s="208"/>
      <c r="J203" s="208"/>
      <c r="K203" s="208"/>
      <c r="L203" s="208"/>
      <c r="M203" s="208"/>
      <c r="N203" s="208"/>
      <c r="O203" s="208"/>
      <c r="P203" s="208"/>
      <c r="Q203" s="208"/>
      <c r="R203" s="53">
        <f>R202</f>
        <v>1940400</v>
      </c>
      <c r="S203" s="88">
        <f aca="true" t="shared" si="66" ref="S203:X203">S202</f>
        <v>549500</v>
      </c>
      <c r="T203" s="51">
        <f t="shared" si="66"/>
        <v>469000</v>
      </c>
      <c r="U203" s="51">
        <f t="shared" si="66"/>
        <v>382000</v>
      </c>
      <c r="V203" s="88">
        <f t="shared" si="66"/>
        <v>539900</v>
      </c>
      <c r="W203" s="53">
        <f t="shared" si="66"/>
        <v>2012200</v>
      </c>
      <c r="X203" s="115">
        <f t="shared" si="66"/>
        <v>2060600</v>
      </c>
    </row>
    <row r="204" spans="1:24" s="3" customFormat="1" ht="12.75">
      <c r="A204" s="209" t="s">
        <v>131</v>
      </c>
      <c r="B204" s="210"/>
      <c r="C204" s="210"/>
      <c r="D204" s="210"/>
      <c r="E204" s="210"/>
      <c r="F204" s="211"/>
      <c r="G204" s="212" t="s">
        <v>52</v>
      </c>
      <c r="H204" s="213"/>
      <c r="I204" s="213"/>
      <c r="J204" s="213"/>
      <c r="K204" s="213"/>
      <c r="L204" s="213"/>
      <c r="M204" s="213"/>
      <c r="N204" s="213"/>
      <c r="O204" s="213"/>
      <c r="P204" s="213"/>
      <c r="Q204" s="213"/>
      <c r="R204" s="54">
        <f>R205</f>
        <v>1330400</v>
      </c>
      <c r="S204" s="90">
        <f aca="true" t="shared" si="67" ref="S204:X206">S205</f>
        <v>400000</v>
      </c>
      <c r="T204" s="31">
        <f t="shared" si="67"/>
        <v>310000</v>
      </c>
      <c r="U204" s="31">
        <f t="shared" si="67"/>
        <v>230000</v>
      </c>
      <c r="V204" s="90">
        <f t="shared" si="67"/>
        <v>390400</v>
      </c>
      <c r="W204" s="54">
        <f t="shared" si="67"/>
        <v>1379700</v>
      </c>
      <c r="X204" s="116">
        <f t="shared" si="67"/>
        <v>1412800</v>
      </c>
    </row>
    <row r="205" spans="1:24" ht="24" customHeight="1">
      <c r="A205" s="214" t="s">
        <v>344</v>
      </c>
      <c r="B205" s="215"/>
      <c r="C205" s="215"/>
      <c r="D205" s="215"/>
      <c r="E205" s="215"/>
      <c r="F205" s="43"/>
      <c r="G205" s="217" t="s">
        <v>198</v>
      </c>
      <c r="H205" s="218"/>
      <c r="I205" s="218"/>
      <c r="J205" s="218"/>
      <c r="K205" s="218"/>
      <c r="L205" s="218"/>
      <c r="M205" s="218"/>
      <c r="N205" s="218"/>
      <c r="O205" s="218"/>
      <c r="P205" s="218"/>
      <c r="Q205" s="273"/>
      <c r="R205" s="55">
        <f>R206</f>
        <v>1330400</v>
      </c>
      <c r="S205" s="65">
        <f t="shared" si="67"/>
        <v>400000</v>
      </c>
      <c r="T205" s="32">
        <f t="shared" si="67"/>
        <v>310000</v>
      </c>
      <c r="U205" s="32">
        <f t="shared" si="67"/>
        <v>230000</v>
      </c>
      <c r="V205" s="65">
        <f t="shared" si="67"/>
        <v>390400</v>
      </c>
      <c r="W205" s="55">
        <f t="shared" si="67"/>
        <v>1379700</v>
      </c>
      <c r="X205" s="117">
        <f t="shared" si="67"/>
        <v>1412800</v>
      </c>
    </row>
    <row r="206" spans="1:24" s="76" customFormat="1" ht="24" customHeight="1">
      <c r="A206" s="214" t="s">
        <v>345</v>
      </c>
      <c r="B206" s="215"/>
      <c r="C206" s="215"/>
      <c r="D206" s="215"/>
      <c r="E206" s="215"/>
      <c r="F206" s="43"/>
      <c r="G206" s="217" t="s">
        <v>200</v>
      </c>
      <c r="H206" s="218"/>
      <c r="I206" s="218"/>
      <c r="J206" s="218"/>
      <c r="K206" s="218"/>
      <c r="L206" s="218"/>
      <c r="M206" s="218"/>
      <c r="N206" s="218"/>
      <c r="O206" s="218"/>
      <c r="P206" s="218"/>
      <c r="Q206" s="273"/>
      <c r="R206" s="55">
        <f>R207</f>
        <v>1330400</v>
      </c>
      <c r="S206" s="65">
        <f t="shared" si="67"/>
        <v>400000</v>
      </c>
      <c r="T206" s="32">
        <f t="shared" si="67"/>
        <v>310000</v>
      </c>
      <c r="U206" s="32">
        <f t="shared" si="67"/>
        <v>230000</v>
      </c>
      <c r="V206" s="65">
        <f t="shared" si="67"/>
        <v>390400</v>
      </c>
      <c r="W206" s="55">
        <f t="shared" si="67"/>
        <v>1379700</v>
      </c>
      <c r="X206" s="117">
        <f t="shared" si="67"/>
        <v>1412800</v>
      </c>
    </row>
    <row r="207" spans="1:24" s="76" customFormat="1" ht="24" customHeight="1">
      <c r="A207" s="214" t="s">
        <v>346</v>
      </c>
      <c r="B207" s="215"/>
      <c r="C207" s="215"/>
      <c r="D207" s="215"/>
      <c r="E207" s="215"/>
      <c r="F207" s="43"/>
      <c r="G207" s="217" t="s">
        <v>202</v>
      </c>
      <c r="H207" s="218"/>
      <c r="I207" s="218"/>
      <c r="J207" s="218"/>
      <c r="K207" s="218"/>
      <c r="L207" s="218"/>
      <c r="M207" s="218"/>
      <c r="N207" s="218"/>
      <c r="O207" s="218"/>
      <c r="P207" s="218"/>
      <c r="Q207" s="273"/>
      <c r="R207" s="55">
        <f>SUM(R208:R212)</f>
        <v>1330400</v>
      </c>
      <c r="S207" s="65">
        <f aca="true" t="shared" si="68" ref="S207:X207">SUM(S208:S212)</f>
        <v>400000</v>
      </c>
      <c r="T207" s="32">
        <f t="shared" si="68"/>
        <v>310000</v>
      </c>
      <c r="U207" s="32">
        <f t="shared" si="68"/>
        <v>230000</v>
      </c>
      <c r="V207" s="65">
        <f t="shared" si="68"/>
        <v>390400</v>
      </c>
      <c r="W207" s="131">
        <f t="shared" si="68"/>
        <v>1379700</v>
      </c>
      <c r="X207" s="130">
        <f t="shared" si="68"/>
        <v>1412800</v>
      </c>
    </row>
    <row r="208" spans="1:24" ht="12.75" hidden="1">
      <c r="A208" s="214" t="s">
        <v>347</v>
      </c>
      <c r="B208" s="215"/>
      <c r="C208" s="215"/>
      <c r="D208" s="215"/>
      <c r="E208" s="215"/>
      <c r="F208" s="216"/>
      <c r="G208" s="217" t="s">
        <v>39</v>
      </c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56">
        <f>SUM(S208:V208)</f>
        <v>0</v>
      </c>
      <c r="S208" s="102">
        <v>0</v>
      </c>
      <c r="T208" s="103">
        <v>0</v>
      </c>
      <c r="U208" s="103">
        <v>0</v>
      </c>
      <c r="V208" s="102">
        <v>0</v>
      </c>
      <c r="W208" s="123">
        <v>0</v>
      </c>
      <c r="X208" s="120">
        <v>0</v>
      </c>
    </row>
    <row r="209" spans="1:24" ht="12.75" hidden="1">
      <c r="A209" s="214" t="s">
        <v>348</v>
      </c>
      <c r="B209" s="215"/>
      <c r="C209" s="215"/>
      <c r="D209" s="215"/>
      <c r="E209" s="215"/>
      <c r="F209" s="216"/>
      <c r="G209" s="217" t="s">
        <v>40</v>
      </c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56">
        <f>SUM(S209:V209)</f>
        <v>730400</v>
      </c>
      <c r="S209" s="102">
        <f>250000</f>
        <v>250000</v>
      </c>
      <c r="T209" s="103">
        <f>160000</f>
        <v>160000</v>
      </c>
      <c r="U209" s="103">
        <f>80000</f>
        <v>80000</v>
      </c>
      <c r="V209" s="102">
        <f>240400</f>
        <v>240400</v>
      </c>
      <c r="W209" s="123">
        <v>759700</v>
      </c>
      <c r="X209" s="120">
        <v>772800</v>
      </c>
    </row>
    <row r="210" spans="1:24" ht="12.75" hidden="1">
      <c r="A210" s="214" t="s">
        <v>349</v>
      </c>
      <c r="B210" s="215"/>
      <c r="C210" s="215"/>
      <c r="D210" s="215"/>
      <c r="E210" s="215"/>
      <c r="F210" s="216"/>
      <c r="G210" s="217" t="s">
        <v>41</v>
      </c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56">
        <f>SUM(S210:V210)</f>
        <v>600000</v>
      </c>
      <c r="S210" s="102">
        <f>150000</f>
        <v>150000</v>
      </c>
      <c r="T210" s="103">
        <f>150000</f>
        <v>150000</v>
      </c>
      <c r="U210" s="103">
        <f>150000</f>
        <v>150000</v>
      </c>
      <c r="V210" s="102">
        <f>150000</f>
        <v>150000</v>
      </c>
      <c r="W210" s="123">
        <v>620000</v>
      </c>
      <c r="X210" s="120">
        <v>640000</v>
      </c>
    </row>
    <row r="211" spans="1:24" ht="21.75" customHeight="1" hidden="1" thickBot="1">
      <c r="A211" s="214" t="s">
        <v>350</v>
      </c>
      <c r="B211" s="215"/>
      <c r="C211" s="215"/>
      <c r="D211" s="215"/>
      <c r="E211" s="215"/>
      <c r="F211" s="216"/>
      <c r="G211" s="217" t="s">
        <v>50</v>
      </c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56">
        <f>SUM(S211:V211)</f>
        <v>0</v>
      </c>
      <c r="S211" s="102">
        <v>0</v>
      </c>
      <c r="T211" s="103">
        <v>0</v>
      </c>
      <c r="U211" s="103">
        <v>0</v>
      </c>
      <c r="V211" s="102">
        <v>0</v>
      </c>
      <c r="W211" s="123">
        <v>0</v>
      </c>
      <c r="X211" s="120">
        <v>0</v>
      </c>
    </row>
    <row r="212" spans="1:24" ht="12.75" hidden="1">
      <c r="A212" s="214" t="s">
        <v>351</v>
      </c>
      <c r="B212" s="215"/>
      <c r="C212" s="215"/>
      <c r="D212" s="215"/>
      <c r="E212" s="215"/>
      <c r="F212" s="216"/>
      <c r="G212" s="173" t="s">
        <v>71</v>
      </c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  <c r="R212" s="56">
        <f>SUM(S212:V212)</f>
        <v>0</v>
      </c>
      <c r="S212" s="102">
        <v>0</v>
      </c>
      <c r="T212" s="103">
        <v>0</v>
      </c>
      <c r="U212" s="103">
        <v>0</v>
      </c>
      <c r="V212" s="102">
        <v>0</v>
      </c>
      <c r="W212" s="123">
        <v>0</v>
      </c>
      <c r="X212" s="120">
        <v>0</v>
      </c>
    </row>
    <row r="213" spans="1:24" s="3" customFormat="1" ht="36" customHeight="1" hidden="1">
      <c r="A213" s="209" t="s">
        <v>133</v>
      </c>
      <c r="B213" s="210"/>
      <c r="C213" s="210"/>
      <c r="D213" s="210"/>
      <c r="E213" s="210"/>
      <c r="F213" s="211"/>
      <c r="G213" s="276" t="s">
        <v>218</v>
      </c>
      <c r="H213" s="213"/>
      <c r="I213" s="213"/>
      <c r="J213" s="213"/>
      <c r="K213" s="213"/>
      <c r="L213" s="213"/>
      <c r="M213" s="213"/>
      <c r="N213" s="213"/>
      <c r="O213" s="213"/>
      <c r="P213" s="213"/>
      <c r="Q213" s="213"/>
      <c r="R213" s="54">
        <f>R214</f>
        <v>0</v>
      </c>
      <c r="S213" s="90">
        <f aca="true" t="shared" si="69" ref="S213:X213">S214</f>
        <v>0</v>
      </c>
      <c r="T213" s="31">
        <f t="shared" si="69"/>
        <v>0</v>
      </c>
      <c r="U213" s="31">
        <f>U214</f>
        <v>0</v>
      </c>
      <c r="V213" s="90">
        <f t="shared" si="69"/>
        <v>0</v>
      </c>
      <c r="W213" s="54">
        <f t="shared" si="69"/>
        <v>0</v>
      </c>
      <c r="X213" s="116">
        <f t="shared" si="69"/>
        <v>0</v>
      </c>
    </row>
    <row r="214" spans="1:24" ht="15.75" customHeight="1" hidden="1">
      <c r="A214" s="229" t="s">
        <v>134</v>
      </c>
      <c r="B214" s="230"/>
      <c r="C214" s="230"/>
      <c r="D214" s="230"/>
      <c r="E214" s="230"/>
      <c r="F214" s="231"/>
      <c r="G214" s="234" t="s">
        <v>32</v>
      </c>
      <c r="H214" s="235"/>
      <c r="I214" s="235"/>
      <c r="J214" s="235"/>
      <c r="K214" s="235"/>
      <c r="L214" s="235"/>
      <c r="M214" s="235"/>
      <c r="N214" s="235"/>
      <c r="O214" s="235"/>
      <c r="P214" s="235"/>
      <c r="Q214" s="235"/>
      <c r="R214" s="55">
        <f aca="true" t="shared" si="70" ref="R214:X214">SUM(R215:R218)</f>
        <v>0</v>
      </c>
      <c r="S214" s="65">
        <f>SUM(S215:S218)</f>
        <v>0</v>
      </c>
      <c r="T214" s="32">
        <f t="shared" si="70"/>
        <v>0</v>
      </c>
      <c r="U214" s="32">
        <f t="shared" si="70"/>
        <v>0</v>
      </c>
      <c r="V214" s="65">
        <f t="shared" si="70"/>
        <v>0</v>
      </c>
      <c r="W214" s="55">
        <f t="shared" si="70"/>
        <v>0</v>
      </c>
      <c r="X214" s="117">
        <f t="shared" si="70"/>
        <v>0</v>
      </c>
    </row>
    <row r="215" spans="1:24" ht="16.5" customHeight="1" hidden="1" thickBot="1">
      <c r="A215" s="229" t="s">
        <v>135</v>
      </c>
      <c r="B215" s="230"/>
      <c r="C215" s="230"/>
      <c r="D215" s="230"/>
      <c r="E215" s="230"/>
      <c r="F215" s="231"/>
      <c r="G215" s="234" t="s">
        <v>39</v>
      </c>
      <c r="H215" s="235"/>
      <c r="I215" s="235"/>
      <c r="J215" s="235"/>
      <c r="K215" s="235"/>
      <c r="L215" s="235"/>
      <c r="M215" s="235"/>
      <c r="N215" s="235"/>
      <c r="O215" s="235"/>
      <c r="P215" s="235"/>
      <c r="Q215" s="235"/>
      <c r="R215" s="56">
        <f>SUM(S215:V215)</f>
        <v>0</v>
      </c>
      <c r="S215" s="98"/>
      <c r="T215" s="99"/>
      <c r="U215" s="99"/>
      <c r="V215" s="98"/>
      <c r="W215" s="100"/>
      <c r="X215" s="118"/>
    </row>
    <row r="216" spans="1:24" ht="16.5" customHeight="1" hidden="1">
      <c r="A216" s="229" t="s">
        <v>136</v>
      </c>
      <c r="B216" s="230"/>
      <c r="C216" s="230"/>
      <c r="D216" s="230"/>
      <c r="E216" s="230"/>
      <c r="F216" s="231"/>
      <c r="G216" s="234" t="s">
        <v>41</v>
      </c>
      <c r="H216" s="235"/>
      <c r="I216" s="235"/>
      <c r="J216" s="235"/>
      <c r="K216" s="235"/>
      <c r="L216" s="235"/>
      <c r="M216" s="235"/>
      <c r="N216" s="235"/>
      <c r="O216" s="235"/>
      <c r="P216" s="235"/>
      <c r="Q216" s="235"/>
      <c r="R216" s="56">
        <f>SUM(S216:V216)</f>
        <v>0</v>
      </c>
      <c r="S216" s="98"/>
      <c r="T216" s="99"/>
      <c r="U216" s="99"/>
      <c r="V216" s="98"/>
      <c r="W216" s="100"/>
      <c r="X216" s="118"/>
    </row>
    <row r="217" spans="1:24" ht="16.5" customHeight="1" hidden="1">
      <c r="A217" s="229" t="s">
        <v>166</v>
      </c>
      <c r="B217" s="230"/>
      <c r="C217" s="230"/>
      <c r="D217" s="230"/>
      <c r="E217" s="230"/>
      <c r="F217" s="231"/>
      <c r="G217" s="234" t="s">
        <v>42</v>
      </c>
      <c r="H217" s="235"/>
      <c r="I217" s="235"/>
      <c r="J217" s="235"/>
      <c r="K217" s="235"/>
      <c r="L217" s="235"/>
      <c r="M217" s="235"/>
      <c r="N217" s="235"/>
      <c r="O217" s="235"/>
      <c r="P217" s="235"/>
      <c r="Q217" s="235"/>
      <c r="R217" s="56">
        <f>SUM(S217:V217)</f>
        <v>0</v>
      </c>
      <c r="S217" s="98"/>
      <c r="T217" s="99"/>
      <c r="U217" s="99"/>
      <c r="V217" s="98"/>
      <c r="W217" s="100"/>
      <c r="X217" s="118"/>
    </row>
    <row r="218" spans="1:24" ht="16.5" customHeight="1" hidden="1">
      <c r="A218" s="229" t="s">
        <v>168</v>
      </c>
      <c r="B218" s="230"/>
      <c r="C218" s="230"/>
      <c r="D218" s="230"/>
      <c r="E218" s="230"/>
      <c r="F218" s="231"/>
      <c r="G218" s="234" t="s">
        <v>43</v>
      </c>
      <c r="H218" s="235"/>
      <c r="I218" s="235"/>
      <c r="J218" s="235"/>
      <c r="K218" s="235"/>
      <c r="L218" s="235"/>
      <c r="M218" s="235"/>
      <c r="N218" s="235"/>
      <c r="O218" s="235"/>
      <c r="P218" s="235"/>
      <c r="Q218" s="235"/>
      <c r="R218" s="56">
        <f>SUM(S218:V218)</f>
        <v>0</v>
      </c>
      <c r="S218" s="98"/>
      <c r="T218" s="99"/>
      <c r="U218" s="99"/>
      <c r="V218" s="98"/>
      <c r="W218" s="100"/>
      <c r="X218" s="118"/>
    </row>
    <row r="219" spans="1:24" s="3" customFormat="1" ht="12.75">
      <c r="A219" s="209" t="s">
        <v>137</v>
      </c>
      <c r="B219" s="210"/>
      <c r="C219" s="210"/>
      <c r="D219" s="210"/>
      <c r="E219" s="210"/>
      <c r="F219" s="211"/>
      <c r="G219" s="212" t="s">
        <v>53</v>
      </c>
      <c r="H219" s="213"/>
      <c r="I219" s="213"/>
      <c r="J219" s="213"/>
      <c r="K219" s="213"/>
      <c r="L219" s="213"/>
      <c r="M219" s="213"/>
      <c r="N219" s="213"/>
      <c r="O219" s="213"/>
      <c r="P219" s="213"/>
      <c r="Q219" s="213"/>
      <c r="R219" s="54">
        <f>R220</f>
        <v>46500</v>
      </c>
      <c r="S219" s="90">
        <f aca="true" t="shared" si="71" ref="S219:X222">S220</f>
        <v>11625</v>
      </c>
      <c r="T219" s="31">
        <f t="shared" si="71"/>
        <v>11625</v>
      </c>
      <c r="U219" s="31">
        <f t="shared" si="71"/>
        <v>11625</v>
      </c>
      <c r="V219" s="90">
        <f t="shared" si="71"/>
        <v>11625</v>
      </c>
      <c r="W219" s="54">
        <f t="shared" si="71"/>
        <v>48300</v>
      </c>
      <c r="X219" s="116">
        <f t="shared" si="71"/>
        <v>49400</v>
      </c>
    </row>
    <row r="220" spans="1:24" ht="24" customHeight="1">
      <c r="A220" s="214" t="s">
        <v>352</v>
      </c>
      <c r="B220" s="215"/>
      <c r="C220" s="215"/>
      <c r="D220" s="215"/>
      <c r="E220" s="215"/>
      <c r="F220" s="43"/>
      <c r="G220" s="217" t="s">
        <v>198</v>
      </c>
      <c r="H220" s="218"/>
      <c r="I220" s="218"/>
      <c r="J220" s="218"/>
      <c r="K220" s="218"/>
      <c r="L220" s="218"/>
      <c r="M220" s="218"/>
      <c r="N220" s="218"/>
      <c r="O220" s="218"/>
      <c r="P220" s="218"/>
      <c r="Q220" s="273"/>
      <c r="R220" s="55">
        <f>R221</f>
        <v>46500</v>
      </c>
      <c r="S220" s="65">
        <f t="shared" si="71"/>
        <v>11625</v>
      </c>
      <c r="T220" s="32">
        <f t="shared" si="71"/>
        <v>11625</v>
      </c>
      <c r="U220" s="32">
        <f t="shared" si="71"/>
        <v>11625</v>
      </c>
      <c r="V220" s="65">
        <f t="shared" si="71"/>
        <v>11625</v>
      </c>
      <c r="W220" s="55">
        <f t="shared" si="71"/>
        <v>48300</v>
      </c>
      <c r="X220" s="117">
        <f t="shared" si="71"/>
        <v>49400</v>
      </c>
    </row>
    <row r="221" spans="1:24" s="76" customFormat="1" ht="24" customHeight="1">
      <c r="A221" s="214" t="s">
        <v>353</v>
      </c>
      <c r="B221" s="215"/>
      <c r="C221" s="215"/>
      <c r="D221" s="215"/>
      <c r="E221" s="215"/>
      <c r="F221" s="43"/>
      <c r="G221" s="217" t="s">
        <v>200</v>
      </c>
      <c r="H221" s="218"/>
      <c r="I221" s="218"/>
      <c r="J221" s="218"/>
      <c r="K221" s="218"/>
      <c r="L221" s="218"/>
      <c r="M221" s="218"/>
      <c r="N221" s="218"/>
      <c r="O221" s="218"/>
      <c r="P221" s="218"/>
      <c r="Q221" s="273"/>
      <c r="R221" s="55">
        <f>R222</f>
        <v>46500</v>
      </c>
      <c r="S221" s="65">
        <f t="shared" si="71"/>
        <v>11625</v>
      </c>
      <c r="T221" s="32">
        <f t="shared" si="71"/>
        <v>11625</v>
      </c>
      <c r="U221" s="32">
        <f t="shared" si="71"/>
        <v>11625</v>
      </c>
      <c r="V221" s="65">
        <f t="shared" si="71"/>
        <v>11625</v>
      </c>
      <c r="W221" s="55">
        <f t="shared" si="71"/>
        <v>48300</v>
      </c>
      <c r="X221" s="117">
        <f t="shared" si="71"/>
        <v>49400</v>
      </c>
    </row>
    <row r="222" spans="1:24" s="76" customFormat="1" ht="24" customHeight="1">
      <c r="A222" s="214" t="s">
        <v>354</v>
      </c>
      <c r="B222" s="215"/>
      <c r="C222" s="215"/>
      <c r="D222" s="215"/>
      <c r="E222" s="215"/>
      <c r="F222" s="43"/>
      <c r="G222" s="217" t="s">
        <v>202</v>
      </c>
      <c r="H222" s="218"/>
      <c r="I222" s="218"/>
      <c r="J222" s="218"/>
      <c r="K222" s="218"/>
      <c r="L222" s="218"/>
      <c r="M222" s="218"/>
      <c r="N222" s="218"/>
      <c r="O222" s="218"/>
      <c r="P222" s="218"/>
      <c r="Q222" s="273"/>
      <c r="R222" s="55">
        <f>R223</f>
        <v>46500</v>
      </c>
      <c r="S222" s="65">
        <f t="shared" si="71"/>
        <v>11625</v>
      </c>
      <c r="T222" s="32">
        <f t="shared" si="71"/>
        <v>11625</v>
      </c>
      <c r="U222" s="32">
        <f t="shared" si="71"/>
        <v>11625</v>
      </c>
      <c r="V222" s="65">
        <f t="shared" si="71"/>
        <v>11625</v>
      </c>
      <c r="W222" s="55">
        <f t="shared" si="71"/>
        <v>48300</v>
      </c>
      <c r="X222" s="117">
        <f t="shared" si="71"/>
        <v>49400</v>
      </c>
    </row>
    <row r="223" spans="1:24" ht="12.75" hidden="1">
      <c r="A223" s="214" t="s">
        <v>355</v>
      </c>
      <c r="B223" s="215"/>
      <c r="C223" s="215"/>
      <c r="D223" s="215"/>
      <c r="E223" s="215"/>
      <c r="F223" s="216"/>
      <c r="G223" s="217" t="s">
        <v>41</v>
      </c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56">
        <f>SUM(S223:V223)</f>
        <v>46500</v>
      </c>
      <c r="S223" s="91">
        <f>11625</f>
        <v>11625</v>
      </c>
      <c r="T223" s="33">
        <f>11625</f>
        <v>11625</v>
      </c>
      <c r="U223" s="33">
        <f>11625</f>
        <v>11625</v>
      </c>
      <c r="V223" s="91">
        <f>11625</f>
        <v>11625</v>
      </c>
      <c r="W223" s="56">
        <v>48300</v>
      </c>
      <c r="X223" s="119">
        <v>49400</v>
      </c>
    </row>
    <row r="224" spans="1:24" s="3" customFormat="1" ht="12.75">
      <c r="A224" s="209" t="s">
        <v>138</v>
      </c>
      <c r="B224" s="210"/>
      <c r="C224" s="210"/>
      <c r="D224" s="210"/>
      <c r="E224" s="210"/>
      <c r="F224" s="211"/>
      <c r="G224" s="212" t="s">
        <v>54</v>
      </c>
      <c r="H224" s="213"/>
      <c r="I224" s="213"/>
      <c r="J224" s="213"/>
      <c r="K224" s="213"/>
      <c r="L224" s="213"/>
      <c r="M224" s="213"/>
      <c r="N224" s="213"/>
      <c r="O224" s="213"/>
      <c r="P224" s="213"/>
      <c r="Q224" s="213"/>
      <c r="R224" s="54">
        <f>R225</f>
        <v>104700</v>
      </c>
      <c r="S224" s="90">
        <f aca="true" t="shared" si="72" ref="S224:X226">S225</f>
        <v>23175</v>
      </c>
      <c r="T224" s="31">
        <f t="shared" si="72"/>
        <v>32675</v>
      </c>
      <c r="U224" s="31">
        <f t="shared" si="72"/>
        <v>25675</v>
      </c>
      <c r="V224" s="90">
        <f t="shared" si="72"/>
        <v>23175</v>
      </c>
      <c r="W224" s="54">
        <f t="shared" si="72"/>
        <v>108500</v>
      </c>
      <c r="X224" s="116">
        <f t="shared" si="72"/>
        <v>111200</v>
      </c>
    </row>
    <row r="225" spans="1:24" ht="24" customHeight="1">
      <c r="A225" s="214" t="s">
        <v>356</v>
      </c>
      <c r="B225" s="215"/>
      <c r="C225" s="215"/>
      <c r="D225" s="215"/>
      <c r="E225" s="215"/>
      <c r="F225" s="43"/>
      <c r="G225" s="217" t="s">
        <v>198</v>
      </c>
      <c r="H225" s="218"/>
      <c r="I225" s="218"/>
      <c r="J225" s="218"/>
      <c r="K225" s="218"/>
      <c r="L225" s="218"/>
      <c r="M225" s="218"/>
      <c r="N225" s="218"/>
      <c r="O225" s="218"/>
      <c r="P225" s="218"/>
      <c r="Q225" s="273"/>
      <c r="R225" s="55">
        <f>R226</f>
        <v>104700</v>
      </c>
      <c r="S225" s="65">
        <f t="shared" si="72"/>
        <v>23175</v>
      </c>
      <c r="T225" s="32">
        <f t="shared" si="72"/>
        <v>32675</v>
      </c>
      <c r="U225" s="32">
        <f t="shared" si="72"/>
        <v>25675</v>
      </c>
      <c r="V225" s="65">
        <f t="shared" si="72"/>
        <v>23175</v>
      </c>
      <c r="W225" s="55">
        <f t="shared" si="72"/>
        <v>108500</v>
      </c>
      <c r="X225" s="117">
        <f t="shared" si="72"/>
        <v>111200</v>
      </c>
    </row>
    <row r="226" spans="1:24" s="76" customFormat="1" ht="24" customHeight="1">
      <c r="A226" s="214" t="s">
        <v>357</v>
      </c>
      <c r="B226" s="215"/>
      <c r="C226" s="215"/>
      <c r="D226" s="215"/>
      <c r="E226" s="215"/>
      <c r="F226" s="43"/>
      <c r="G226" s="217" t="s">
        <v>200</v>
      </c>
      <c r="H226" s="218"/>
      <c r="I226" s="218"/>
      <c r="J226" s="218"/>
      <c r="K226" s="218"/>
      <c r="L226" s="218"/>
      <c r="M226" s="218"/>
      <c r="N226" s="218"/>
      <c r="O226" s="218"/>
      <c r="P226" s="218"/>
      <c r="Q226" s="273"/>
      <c r="R226" s="55">
        <f>R227</f>
        <v>104700</v>
      </c>
      <c r="S226" s="65">
        <f t="shared" si="72"/>
        <v>23175</v>
      </c>
      <c r="T226" s="32">
        <f t="shared" si="72"/>
        <v>32675</v>
      </c>
      <c r="U226" s="32">
        <f t="shared" si="72"/>
        <v>25675</v>
      </c>
      <c r="V226" s="65">
        <f t="shared" si="72"/>
        <v>23175</v>
      </c>
      <c r="W226" s="55">
        <f t="shared" si="72"/>
        <v>108500</v>
      </c>
      <c r="X226" s="117">
        <f t="shared" si="72"/>
        <v>111200</v>
      </c>
    </row>
    <row r="227" spans="1:24" s="76" customFormat="1" ht="24" customHeight="1">
      <c r="A227" s="214" t="s">
        <v>358</v>
      </c>
      <c r="B227" s="215"/>
      <c r="C227" s="215"/>
      <c r="D227" s="215"/>
      <c r="E227" s="215"/>
      <c r="F227" s="43"/>
      <c r="G227" s="217" t="s">
        <v>202</v>
      </c>
      <c r="H227" s="218"/>
      <c r="I227" s="218"/>
      <c r="J227" s="218"/>
      <c r="K227" s="218"/>
      <c r="L227" s="218"/>
      <c r="M227" s="218"/>
      <c r="N227" s="218"/>
      <c r="O227" s="218"/>
      <c r="P227" s="218"/>
      <c r="Q227" s="273"/>
      <c r="R227" s="55">
        <f>SUM(R228:R231)</f>
        <v>104700</v>
      </c>
      <c r="S227" s="65">
        <f aca="true" t="shared" si="73" ref="S227:X227">SUM(S228:S231)</f>
        <v>23175</v>
      </c>
      <c r="T227" s="32">
        <f t="shared" si="73"/>
        <v>32675</v>
      </c>
      <c r="U227" s="32">
        <f t="shared" si="73"/>
        <v>25675</v>
      </c>
      <c r="V227" s="65">
        <f t="shared" si="73"/>
        <v>23175</v>
      </c>
      <c r="W227" s="55">
        <f t="shared" si="73"/>
        <v>108500</v>
      </c>
      <c r="X227" s="117">
        <f t="shared" si="73"/>
        <v>111200</v>
      </c>
    </row>
    <row r="228" spans="1:24" ht="12.75" hidden="1">
      <c r="A228" s="214" t="s">
        <v>359</v>
      </c>
      <c r="B228" s="215"/>
      <c r="C228" s="215"/>
      <c r="D228" s="215"/>
      <c r="E228" s="215"/>
      <c r="F228" s="216"/>
      <c r="G228" s="217" t="s">
        <v>39</v>
      </c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56">
        <f>SUM(S228:V228)</f>
        <v>5000</v>
      </c>
      <c r="S228" s="102">
        <f>1250</f>
        <v>1250</v>
      </c>
      <c r="T228" s="103">
        <f>1250</f>
        <v>1250</v>
      </c>
      <c r="U228" s="103">
        <f>1250</f>
        <v>1250</v>
      </c>
      <c r="V228" s="102">
        <f>1250</f>
        <v>1250</v>
      </c>
      <c r="W228" s="123">
        <v>5000</v>
      </c>
      <c r="X228" s="120">
        <v>5000</v>
      </c>
    </row>
    <row r="229" spans="1:24" ht="12.75" hidden="1">
      <c r="A229" s="214" t="s">
        <v>360</v>
      </c>
      <c r="B229" s="215"/>
      <c r="C229" s="215"/>
      <c r="D229" s="215"/>
      <c r="E229" s="215"/>
      <c r="F229" s="216"/>
      <c r="G229" s="217" t="s">
        <v>41</v>
      </c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56">
        <f>SUM(S229:V229)</f>
        <v>88700</v>
      </c>
      <c r="S229" s="102">
        <f>20425</f>
        <v>20425</v>
      </c>
      <c r="T229" s="103">
        <f>27425</f>
        <v>27425</v>
      </c>
      <c r="U229" s="103">
        <f>20425</f>
        <v>20425</v>
      </c>
      <c r="V229" s="102">
        <f>20425</f>
        <v>20425</v>
      </c>
      <c r="W229" s="123">
        <v>87500</v>
      </c>
      <c r="X229" s="120">
        <v>90200</v>
      </c>
    </row>
    <row r="230" spans="1:24" ht="12.75" hidden="1">
      <c r="A230" s="214" t="s">
        <v>361</v>
      </c>
      <c r="B230" s="215"/>
      <c r="C230" s="215"/>
      <c r="D230" s="215"/>
      <c r="E230" s="215"/>
      <c r="F230" s="216"/>
      <c r="G230" s="217" t="s">
        <v>42</v>
      </c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56">
        <f>SUM(S230:V230)</f>
        <v>5000</v>
      </c>
      <c r="S230" s="102">
        <v>0</v>
      </c>
      <c r="T230" s="103">
        <f>2500</f>
        <v>2500</v>
      </c>
      <c r="U230" s="103">
        <f>2500</f>
        <v>2500</v>
      </c>
      <c r="V230" s="102">
        <v>0</v>
      </c>
      <c r="W230" s="123">
        <v>10000</v>
      </c>
      <c r="X230" s="120">
        <v>10000</v>
      </c>
    </row>
    <row r="231" spans="1:24" ht="12.75" hidden="1">
      <c r="A231" s="214" t="s">
        <v>362</v>
      </c>
      <c r="B231" s="215"/>
      <c r="C231" s="215"/>
      <c r="D231" s="215"/>
      <c r="E231" s="215"/>
      <c r="F231" s="216"/>
      <c r="G231" s="173" t="s">
        <v>71</v>
      </c>
      <c r="H231" s="174"/>
      <c r="I231" s="174"/>
      <c r="J231" s="174"/>
      <c r="K231" s="174"/>
      <c r="L231" s="174"/>
      <c r="M231" s="174"/>
      <c r="N231" s="174"/>
      <c r="O231" s="174"/>
      <c r="P231" s="174"/>
      <c r="Q231" s="174"/>
      <c r="R231" s="56">
        <f>SUM(S231:V231)</f>
        <v>6000</v>
      </c>
      <c r="S231" s="102">
        <f>1500</f>
        <v>1500</v>
      </c>
      <c r="T231" s="103">
        <f>1500</f>
        <v>1500</v>
      </c>
      <c r="U231" s="103">
        <f>1500</f>
        <v>1500</v>
      </c>
      <c r="V231" s="102">
        <f>1500</f>
        <v>1500</v>
      </c>
      <c r="W231" s="123">
        <v>6000</v>
      </c>
      <c r="X231" s="120">
        <v>6000</v>
      </c>
    </row>
    <row r="232" spans="1:24" s="3" customFormat="1" ht="21.75" customHeight="1">
      <c r="A232" s="209" t="s">
        <v>139</v>
      </c>
      <c r="B232" s="210"/>
      <c r="C232" s="210"/>
      <c r="D232" s="210"/>
      <c r="E232" s="210"/>
      <c r="F232" s="211"/>
      <c r="G232" s="212" t="s">
        <v>55</v>
      </c>
      <c r="H232" s="213"/>
      <c r="I232" s="213"/>
      <c r="J232" s="213"/>
      <c r="K232" s="213"/>
      <c r="L232" s="213"/>
      <c r="M232" s="213"/>
      <c r="N232" s="213"/>
      <c r="O232" s="213"/>
      <c r="P232" s="213"/>
      <c r="Q232" s="213"/>
      <c r="R232" s="54">
        <f>R233+R242</f>
        <v>458800</v>
      </c>
      <c r="S232" s="90">
        <f aca="true" t="shared" si="74" ref="S232:X232">S233+S242</f>
        <v>114700</v>
      </c>
      <c r="T232" s="31">
        <f t="shared" si="74"/>
        <v>114700</v>
      </c>
      <c r="U232" s="31">
        <f t="shared" si="74"/>
        <v>114700</v>
      </c>
      <c r="V232" s="90">
        <f t="shared" si="74"/>
        <v>114700</v>
      </c>
      <c r="W232" s="54">
        <f t="shared" si="74"/>
        <v>475700</v>
      </c>
      <c r="X232" s="116">
        <f t="shared" si="74"/>
        <v>487200</v>
      </c>
    </row>
    <row r="233" spans="1:24" ht="24" customHeight="1">
      <c r="A233" s="214" t="s">
        <v>363</v>
      </c>
      <c r="B233" s="215"/>
      <c r="C233" s="215"/>
      <c r="D233" s="215"/>
      <c r="E233" s="215"/>
      <c r="F233" s="43"/>
      <c r="G233" s="217" t="s">
        <v>198</v>
      </c>
      <c r="H233" s="218"/>
      <c r="I233" s="218"/>
      <c r="J233" s="218"/>
      <c r="K233" s="218"/>
      <c r="L233" s="218"/>
      <c r="M233" s="218"/>
      <c r="N233" s="218"/>
      <c r="O233" s="218"/>
      <c r="P233" s="218"/>
      <c r="Q233" s="273"/>
      <c r="R233" s="55">
        <f>R234</f>
        <v>458800</v>
      </c>
      <c r="S233" s="65">
        <f aca="true" t="shared" si="75" ref="S233:X234">S234</f>
        <v>114700</v>
      </c>
      <c r="T233" s="32">
        <f t="shared" si="75"/>
        <v>114700</v>
      </c>
      <c r="U233" s="32">
        <f t="shared" si="75"/>
        <v>114700</v>
      </c>
      <c r="V233" s="65">
        <f t="shared" si="75"/>
        <v>114700</v>
      </c>
      <c r="W233" s="55">
        <f t="shared" si="75"/>
        <v>475700</v>
      </c>
      <c r="X233" s="117">
        <f t="shared" si="75"/>
        <v>487200</v>
      </c>
    </row>
    <row r="234" spans="1:24" s="76" customFormat="1" ht="24" customHeight="1">
      <c r="A234" s="214" t="s">
        <v>364</v>
      </c>
      <c r="B234" s="215"/>
      <c r="C234" s="215"/>
      <c r="D234" s="215"/>
      <c r="E234" s="215"/>
      <c r="F234" s="43"/>
      <c r="G234" s="217" t="s">
        <v>200</v>
      </c>
      <c r="H234" s="218"/>
      <c r="I234" s="218"/>
      <c r="J234" s="218"/>
      <c r="K234" s="218"/>
      <c r="L234" s="218"/>
      <c r="M234" s="218"/>
      <c r="N234" s="218"/>
      <c r="O234" s="218"/>
      <c r="P234" s="218"/>
      <c r="Q234" s="273"/>
      <c r="R234" s="55">
        <f>R235</f>
        <v>458800</v>
      </c>
      <c r="S234" s="65">
        <f t="shared" si="75"/>
        <v>114700</v>
      </c>
      <c r="T234" s="32">
        <f t="shared" si="75"/>
        <v>114700</v>
      </c>
      <c r="U234" s="32">
        <f t="shared" si="75"/>
        <v>114700</v>
      </c>
      <c r="V234" s="65">
        <f t="shared" si="75"/>
        <v>114700</v>
      </c>
      <c r="W234" s="55">
        <f t="shared" si="75"/>
        <v>475700</v>
      </c>
      <c r="X234" s="117">
        <f t="shared" si="75"/>
        <v>487200</v>
      </c>
    </row>
    <row r="235" spans="1:24" s="76" customFormat="1" ht="24" customHeight="1">
      <c r="A235" s="214" t="s">
        <v>365</v>
      </c>
      <c r="B235" s="215"/>
      <c r="C235" s="215"/>
      <c r="D235" s="215"/>
      <c r="E235" s="215"/>
      <c r="F235" s="43"/>
      <c r="G235" s="217" t="s">
        <v>202</v>
      </c>
      <c r="H235" s="218"/>
      <c r="I235" s="218"/>
      <c r="J235" s="218"/>
      <c r="K235" s="218"/>
      <c r="L235" s="218"/>
      <c r="M235" s="218"/>
      <c r="N235" s="218"/>
      <c r="O235" s="218"/>
      <c r="P235" s="218"/>
      <c r="Q235" s="273"/>
      <c r="R235" s="55">
        <f>SUM(R236:R241)</f>
        <v>458800</v>
      </c>
      <c r="S235" s="65">
        <f aca="true" t="shared" si="76" ref="S235:X235">SUM(S236:S241)</f>
        <v>114700</v>
      </c>
      <c r="T235" s="32">
        <f t="shared" si="76"/>
        <v>114700</v>
      </c>
      <c r="U235" s="32">
        <f t="shared" si="76"/>
        <v>114700</v>
      </c>
      <c r="V235" s="65">
        <f t="shared" si="76"/>
        <v>114700</v>
      </c>
      <c r="W235" s="55">
        <f t="shared" si="76"/>
        <v>475700</v>
      </c>
      <c r="X235" s="117">
        <f t="shared" si="76"/>
        <v>487200</v>
      </c>
    </row>
    <row r="236" spans="1:24" ht="12.75" customHeight="1" hidden="1">
      <c r="A236" s="214" t="s">
        <v>366</v>
      </c>
      <c r="B236" s="215"/>
      <c r="C236" s="215"/>
      <c r="D236" s="215"/>
      <c r="E236" s="215"/>
      <c r="F236" s="216"/>
      <c r="G236" s="217" t="s">
        <v>39</v>
      </c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56">
        <f aca="true" t="shared" si="77" ref="R236:R245">SUM(S236:V236)</f>
        <v>46000</v>
      </c>
      <c r="S236" s="102">
        <f>11500</f>
        <v>11500</v>
      </c>
      <c r="T236" s="103">
        <f>11500</f>
        <v>11500</v>
      </c>
      <c r="U236" s="103">
        <f>11500</f>
        <v>11500</v>
      </c>
      <c r="V236" s="102">
        <f>11500</f>
        <v>11500</v>
      </c>
      <c r="W236" s="123">
        <v>46000</v>
      </c>
      <c r="X236" s="120">
        <v>46000</v>
      </c>
    </row>
    <row r="237" spans="1:24" ht="12.75" customHeight="1" hidden="1">
      <c r="A237" s="214" t="s">
        <v>367</v>
      </c>
      <c r="B237" s="215"/>
      <c r="C237" s="215"/>
      <c r="D237" s="215"/>
      <c r="E237" s="215"/>
      <c r="F237" s="216"/>
      <c r="G237" s="217" t="s">
        <v>40</v>
      </c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56">
        <f t="shared" si="77"/>
        <v>0</v>
      </c>
      <c r="S237" s="102">
        <v>0</v>
      </c>
      <c r="T237" s="103">
        <v>0</v>
      </c>
      <c r="U237" s="103">
        <v>0</v>
      </c>
      <c r="V237" s="102">
        <v>0</v>
      </c>
      <c r="W237" s="123">
        <v>0</v>
      </c>
      <c r="X237" s="120">
        <v>0</v>
      </c>
    </row>
    <row r="238" spans="1:24" ht="12.75" customHeight="1" hidden="1">
      <c r="A238" s="214" t="s">
        <v>368</v>
      </c>
      <c r="B238" s="215"/>
      <c r="C238" s="215"/>
      <c r="D238" s="215"/>
      <c r="E238" s="215"/>
      <c r="F238" s="216"/>
      <c r="G238" s="217" t="s">
        <v>41</v>
      </c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56">
        <f t="shared" si="77"/>
        <v>246000</v>
      </c>
      <c r="S238" s="102">
        <f>61500</f>
        <v>61500</v>
      </c>
      <c r="T238" s="103">
        <f>61500</f>
        <v>61500</v>
      </c>
      <c r="U238" s="103">
        <f>61500</f>
        <v>61500</v>
      </c>
      <c r="V238" s="102">
        <f>61500</f>
        <v>61500</v>
      </c>
      <c r="W238" s="123">
        <v>253900</v>
      </c>
      <c r="X238" s="120">
        <v>265400</v>
      </c>
    </row>
    <row r="239" spans="1:24" ht="12.75" customHeight="1" hidden="1">
      <c r="A239" s="214" t="s">
        <v>369</v>
      </c>
      <c r="B239" s="215"/>
      <c r="C239" s="215"/>
      <c r="D239" s="215"/>
      <c r="E239" s="215"/>
      <c r="F239" s="216"/>
      <c r="G239" s="217" t="s">
        <v>42</v>
      </c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56">
        <f t="shared" si="77"/>
        <v>71000</v>
      </c>
      <c r="S239" s="102">
        <f>17750</f>
        <v>17750</v>
      </c>
      <c r="T239" s="103">
        <f>17750</f>
        <v>17750</v>
      </c>
      <c r="U239" s="103">
        <f>17750</f>
        <v>17750</v>
      </c>
      <c r="V239" s="102">
        <f>17750</f>
        <v>17750</v>
      </c>
      <c r="W239" s="123">
        <v>80000</v>
      </c>
      <c r="X239" s="120">
        <v>80000</v>
      </c>
    </row>
    <row r="240" spans="1:24" ht="12.75" customHeight="1" hidden="1">
      <c r="A240" s="214" t="s">
        <v>370</v>
      </c>
      <c r="B240" s="215"/>
      <c r="C240" s="215"/>
      <c r="D240" s="215"/>
      <c r="E240" s="215"/>
      <c r="F240" s="216"/>
      <c r="G240" s="217" t="s">
        <v>43</v>
      </c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56">
        <f>SUM(S240:V240)</f>
        <v>0</v>
      </c>
      <c r="S240" s="102">
        <v>0</v>
      </c>
      <c r="T240" s="103">
        <v>0</v>
      </c>
      <c r="U240" s="103">
        <v>0</v>
      </c>
      <c r="V240" s="102">
        <v>0</v>
      </c>
      <c r="W240" s="123">
        <v>0</v>
      </c>
      <c r="X240" s="120">
        <v>0</v>
      </c>
    </row>
    <row r="241" spans="1:24" ht="12.75" customHeight="1" hidden="1">
      <c r="A241" s="214" t="s">
        <v>371</v>
      </c>
      <c r="B241" s="215"/>
      <c r="C241" s="215"/>
      <c r="D241" s="215"/>
      <c r="E241" s="215"/>
      <c r="F241" s="216"/>
      <c r="G241" s="173" t="s">
        <v>71</v>
      </c>
      <c r="H241" s="174"/>
      <c r="I241" s="174"/>
      <c r="J241" s="174"/>
      <c r="K241" s="174"/>
      <c r="L241" s="174"/>
      <c r="M241" s="174"/>
      <c r="N241" s="174"/>
      <c r="O241" s="174"/>
      <c r="P241" s="174"/>
      <c r="Q241" s="174"/>
      <c r="R241" s="56">
        <f>SUM(S241:V241)</f>
        <v>95800</v>
      </c>
      <c r="S241" s="102">
        <f>23950</f>
        <v>23950</v>
      </c>
      <c r="T241" s="103">
        <f>23950</f>
        <v>23950</v>
      </c>
      <c r="U241" s="103">
        <f>23950</f>
        <v>23950</v>
      </c>
      <c r="V241" s="102">
        <f>23950</f>
        <v>23950</v>
      </c>
      <c r="W241" s="123">
        <v>95800</v>
      </c>
      <c r="X241" s="120">
        <v>95800</v>
      </c>
    </row>
    <row r="242" spans="1:24" ht="12.75" customHeight="1" hidden="1">
      <c r="A242" s="214" t="s">
        <v>373</v>
      </c>
      <c r="B242" s="215"/>
      <c r="C242" s="215"/>
      <c r="D242" s="215"/>
      <c r="E242" s="215"/>
      <c r="F242" s="216"/>
      <c r="G242" s="217" t="s">
        <v>248</v>
      </c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55">
        <f>R243</f>
        <v>0</v>
      </c>
      <c r="S242" s="65">
        <f aca="true" t="shared" si="78" ref="S242:X244">S243</f>
        <v>0</v>
      </c>
      <c r="T242" s="32">
        <f t="shared" si="78"/>
        <v>0</v>
      </c>
      <c r="U242" s="32">
        <f t="shared" si="78"/>
        <v>0</v>
      </c>
      <c r="V242" s="65">
        <f t="shared" si="78"/>
        <v>0</v>
      </c>
      <c r="W242" s="131">
        <f t="shared" si="78"/>
        <v>0</v>
      </c>
      <c r="X242" s="130">
        <f t="shared" si="78"/>
        <v>0</v>
      </c>
    </row>
    <row r="243" spans="1:24" ht="12.75" customHeight="1" hidden="1">
      <c r="A243" s="214" t="s">
        <v>374</v>
      </c>
      <c r="B243" s="215"/>
      <c r="C243" s="215"/>
      <c r="D243" s="215"/>
      <c r="E243" s="215"/>
      <c r="F243" s="216"/>
      <c r="G243" s="217" t="s">
        <v>249</v>
      </c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55">
        <f>R244</f>
        <v>0</v>
      </c>
      <c r="S243" s="65">
        <f t="shared" si="78"/>
        <v>0</v>
      </c>
      <c r="T243" s="32">
        <f t="shared" si="78"/>
        <v>0</v>
      </c>
      <c r="U243" s="32">
        <f t="shared" si="78"/>
        <v>0</v>
      </c>
      <c r="V243" s="65">
        <f t="shared" si="78"/>
        <v>0</v>
      </c>
      <c r="W243" s="131">
        <f t="shared" si="78"/>
        <v>0</v>
      </c>
      <c r="X243" s="130">
        <f t="shared" si="78"/>
        <v>0</v>
      </c>
    </row>
    <row r="244" spans="1:24" ht="12.75" customHeight="1" hidden="1">
      <c r="A244" s="214" t="s">
        <v>375</v>
      </c>
      <c r="B244" s="215"/>
      <c r="C244" s="215"/>
      <c r="D244" s="215"/>
      <c r="E244" s="215"/>
      <c r="F244" s="216"/>
      <c r="G244" s="217" t="s">
        <v>250</v>
      </c>
      <c r="H244" s="218"/>
      <c r="I244" s="218"/>
      <c r="J244" s="218"/>
      <c r="K244" s="218"/>
      <c r="L244" s="218"/>
      <c r="M244" s="218"/>
      <c r="N244" s="218"/>
      <c r="O244" s="218"/>
      <c r="P244" s="218"/>
      <c r="Q244" s="218"/>
      <c r="R244" s="55">
        <f>R245</f>
        <v>0</v>
      </c>
      <c r="S244" s="65">
        <f t="shared" si="78"/>
        <v>0</v>
      </c>
      <c r="T244" s="32">
        <f t="shared" si="78"/>
        <v>0</v>
      </c>
      <c r="U244" s="32">
        <f t="shared" si="78"/>
        <v>0</v>
      </c>
      <c r="V244" s="65">
        <f t="shared" si="78"/>
        <v>0</v>
      </c>
      <c r="W244" s="131">
        <f t="shared" si="78"/>
        <v>0</v>
      </c>
      <c r="X244" s="130">
        <f t="shared" si="78"/>
        <v>0</v>
      </c>
    </row>
    <row r="245" spans="1:24" ht="12.75" hidden="1">
      <c r="A245" s="214" t="s">
        <v>372</v>
      </c>
      <c r="B245" s="215"/>
      <c r="C245" s="215"/>
      <c r="D245" s="215"/>
      <c r="E245" s="215"/>
      <c r="F245" s="216"/>
      <c r="G245" s="217" t="s">
        <v>72</v>
      </c>
      <c r="H245" s="218"/>
      <c r="I245" s="218"/>
      <c r="J245" s="218"/>
      <c r="K245" s="218"/>
      <c r="L245" s="218"/>
      <c r="M245" s="218"/>
      <c r="N245" s="218"/>
      <c r="O245" s="218"/>
      <c r="P245" s="218"/>
      <c r="Q245" s="218"/>
      <c r="R245" s="56">
        <f t="shared" si="77"/>
        <v>0</v>
      </c>
      <c r="S245" s="102">
        <v>0</v>
      </c>
      <c r="T245" s="103">
        <v>0</v>
      </c>
      <c r="U245" s="103">
        <v>0</v>
      </c>
      <c r="V245" s="102">
        <v>0</v>
      </c>
      <c r="W245" s="123">
        <v>0</v>
      </c>
      <c r="X245" s="120">
        <v>0</v>
      </c>
    </row>
    <row r="246" spans="1:24" s="4" customFormat="1" ht="12.75" hidden="1">
      <c r="A246" s="200" t="s">
        <v>140</v>
      </c>
      <c r="B246" s="201"/>
      <c r="C246" s="201"/>
      <c r="D246" s="201"/>
      <c r="E246" s="201"/>
      <c r="F246" s="202"/>
      <c r="G246" s="277" t="s">
        <v>70</v>
      </c>
      <c r="H246" s="278"/>
      <c r="I246" s="278"/>
      <c r="J246" s="278"/>
      <c r="K246" s="278"/>
      <c r="L246" s="278"/>
      <c r="M246" s="278"/>
      <c r="N246" s="278"/>
      <c r="O246" s="278"/>
      <c r="P246" s="278"/>
      <c r="Q246" s="278"/>
      <c r="R246" s="38">
        <f>R247</f>
        <v>0</v>
      </c>
      <c r="S246" s="64">
        <f aca="true" t="shared" si="79" ref="S246:X246">S247</f>
        <v>0</v>
      </c>
      <c r="T246" s="30">
        <f t="shared" si="79"/>
        <v>0</v>
      </c>
      <c r="U246" s="30">
        <f t="shared" si="79"/>
        <v>0</v>
      </c>
      <c r="V246" s="64">
        <f t="shared" si="79"/>
        <v>0</v>
      </c>
      <c r="W246" s="38">
        <f t="shared" si="79"/>
        <v>0</v>
      </c>
      <c r="X246" s="114">
        <f t="shared" si="79"/>
        <v>0</v>
      </c>
    </row>
    <row r="247" spans="1:24" s="3" customFormat="1" ht="12.75" hidden="1">
      <c r="A247" s="209" t="s">
        <v>141</v>
      </c>
      <c r="B247" s="210"/>
      <c r="C247" s="210"/>
      <c r="D247" s="210"/>
      <c r="E247" s="210"/>
      <c r="F247" s="211"/>
      <c r="G247" s="251" t="s">
        <v>96</v>
      </c>
      <c r="H247" s="252"/>
      <c r="I247" s="252"/>
      <c r="J247" s="252"/>
      <c r="K247" s="252"/>
      <c r="L247" s="252"/>
      <c r="M247" s="252"/>
      <c r="N247" s="252"/>
      <c r="O247" s="252"/>
      <c r="P247" s="252"/>
      <c r="Q247" s="252"/>
      <c r="R247" s="54">
        <f>R248+R253</f>
        <v>0</v>
      </c>
      <c r="S247" s="90">
        <f aca="true" t="shared" si="80" ref="S247:X247">S248+S253</f>
        <v>0</v>
      </c>
      <c r="T247" s="31">
        <f t="shared" si="80"/>
        <v>0</v>
      </c>
      <c r="U247" s="31">
        <f t="shared" si="80"/>
        <v>0</v>
      </c>
      <c r="V247" s="90">
        <f t="shared" si="80"/>
        <v>0</v>
      </c>
      <c r="W247" s="54">
        <f t="shared" si="80"/>
        <v>0</v>
      </c>
      <c r="X247" s="116">
        <f t="shared" si="80"/>
        <v>0</v>
      </c>
    </row>
    <row r="248" spans="1:24" ht="24" customHeight="1" hidden="1">
      <c r="A248" s="214" t="s">
        <v>379</v>
      </c>
      <c r="B248" s="215"/>
      <c r="C248" s="215"/>
      <c r="D248" s="215"/>
      <c r="E248" s="215"/>
      <c r="F248" s="43"/>
      <c r="G248" s="217" t="s">
        <v>198</v>
      </c>
      <c r="H248" s="218"/>
      <c r="I248" s="218"/>
      <c r="J248" s="218"/>
      <c r="K248" s="218"/>
      <c r="L248" s="218"/>
      <c r="M248" s="218"/>
      <c r="N248" s="218"/>
      <c r="O248" s="218"/>
      <c r="P248" s="218"/>
      <c r="Q248" s="273"/>
      <c r="R248" s="55">
        <f aca="true" t="shared" si="81" ref="R248:X249">R249</f>
        <v>0</v>
      </c>
      <c r="S248" s="65">
        <f t="shared" si="81"/>
        <v>0</v>
      </c>
      <c r="T248" s="32">
        <f t="shared" si="81"/>
        <v>0</v>
      </c>
      <c r="U248" s="32">
        <f t="shared" si="81"/>
        <v>0</v>
      </c>
      <c r="V248" s="65">
        <f t="shared" si="81"/>
        <v>0</v>
      </c>
      <c r="W248" s="55">
        <f t="shared" si="81"/>
        <v>0</v>
      </c>
      <c r="X248" s="117">
        <f t="shared" si="81"/>
        <v>0</v>
      </c>
    </row>
    <row r="249" spans="1:24" s="76" customFormat="1" ht="24" customHeight="1" hidden="1">
      <c r="A249" s="214" t="s">
        <v>380</v>
      </c>
      <c r="B249" s="215"/>
      <c r="C249" s="215"/>
      <c r="D249" s="215"/>
      <c r="E249" s="215"/>
      <c r="F249" s="43"/>
      <c r="G249" s="217" t="s">
        <v>200</v>
      </c>
      <c r="H249" s="218"/>
      <c r="I249" s="218"/>
      <c r="J249" s="218"/>
      <c r="K249" s="218"/>
      <c r="L249" s="218"/>
      <c r="M249" s="218"/>
      <c r="N249" s="218"/>
      <c r="O249" s="218"/>
      <c r="P249" s="218"/>
      <c r="Q249" s="273"/>
      <c r="R249" s="55">
        <f t="shared" si="81"/>
        <v>0</v>
      </c>
      <c r="S249" s="65">
        <f t="shared" si="81"/>
        <v>0</v>
      </c>
      <c r="T249" s="32">
        <f t="shared" si="81"/>
        <v>0</v>
      </c>
      <c r="U249" s="32">
        <f t="shared" si="81"/>
        <v>0</v>
      </c>
      <c r="V249" s="65">
        <f t="shared" si="81"/>
        <v>0</v>
      </c>
      <c r="W249" s="55">
        <f t="shared" si="81"/>
        <v>0</v>
      </c>
      <c r="X249" s="117">
        <f t="shared" si="81"/>
        <v>0</v>
      </c>
    </row>
    <row r="250" spans="1:24" s="76" customFormat="1" ht="24" customHeight="1" hidden="1">
      <c r="A250" s="214" t="s">
        <v>381</v>
      </c>
      <c r="B250" s="215"/>
      <c r="C250" s="215"/>
      <c r="D250" s="215"/>
      <c r="E250" s="215"/>
      <c r="F250" s="43"/>
      <c r="G250" s="217" t="s">
        <v>202</v>
      </c>
      <c r="H250" s="218"/>
      <c r="I250" s="218"/>
      <c r="J250" s="218"/>
      <c r="K250" s="218"/>
      <c r="L250" s="218"/>
      <c r="M250" s="218"/>
      <c r="N250" s="218"/>
      <c r="O250" s="218"/>
      <c r="P250" s="218"/>
      <c r="Q250" s="273"/>
      <c r="R250" s="55">
        <f>R251+R252</f>
        <v>0</v>
      </c>
      <c r="S250" s="65">
        <f aca="true" t="shared" si="82" ref="S250:X250">S251+S252</f>
        <v>0</v>
      </c>
      <c r="T250" s="32">
        <f t="shared" si="82"/>
        <v>0</v>
      </c>
      <c r="U250" s="32">
        <f t="shared" si="82"/>
        <v>0</v>
      </c>
      <c r="V250" s="65">
        <f t="shared" si="82"/>
        <v>0</v>
      </c>
      <c r="W250" s="55">
        <f t="shared" si="82"/>
        <v>0</v>
      </c>
      <c r="X250" s="117">
        <f t="shared" si="82"/>
        <v>0</v>
      </c>
    </row>
    <row r="251" spans="1:24" ht="12.75" hidden="1">
      <c r="A251" s="214" t="s">
        <v>382</v>
      </c>
      <c r="B251" s="215"/>
      <c r="C251" s="215"/>
      <c r="D251" s="215"/>
      <c r="E251" s="215"/>
      <c r="F251" s="216"/>
      <c r="G251" s="217" t="s">
        <v>43</v>
      </c>
      <c r="H251" s="218"/>
      <c r="I251" s="218"/>
      <c r="J251" s="218"/>
      <c r="K251" s="218"/>
      <c r="L251" s="218"/>
      <c r="M251" s="218"/>
      <c r="N251" s="218"/>
      <c r="O251" s="218"/>
      <c r="P251" s="218"/>
      <c r="Q251" s="218"/>
      <c r="R251" s="56">
        <f>SUM(S251:V251)</f>
        <v>0</v>
      </c>
      <c r="S251" s="102">
        <v>0</v>
      </c>
      <c r="T251" s="103">
        <v>0</v>
      </c>
      <c r="U251" s="103">
        <v>0</v>
      </c>
      <c r="V251" s="102">
        <v>0</v>
      </c>
      <c r="W251" s="123">
        <v>0</v>
      </c>
      <c r="X251" s="120">
        <v>0</v>
      </c>
    </row>
    <row r="252" spans="1:24" ht="12.75" hidden="1">
      <c r="A252" s="214" t="s">
        <v>383</v>
      </c>
      <c r="B252" s="215"/>
      <c r="C252" s="215"/>
      <c r="D252" s="215"/>
      <c r="E252" s="215"/>
      <c r="F252" s="216"/>
      <c r="G252" s="173" t="s">
        <v>71</v>
      </c>
      <c r="H252" s="174"/>
      <c r="I252" s="174"/>
      <c r="J252" s="174"/>
      <c r="K252" s="174"/>
      <c r="L252" s="174"/>
      <c r="M252" s="174"/>
      <c r="N252" s="174"/>
      <c r="O252" s="174"/>
      <c r="P252" s="174"/>
      <c r="Q252" s="174"/>
      <c r="R252" s="56">
        <f>SUM(S252:V252)</f>
        <v>0</v>
      </c>
      <c r="S252" s="102">
        <v>0</v>
      </c>
      <c r="T252" s="103">
        <v>0</v>
      </c>
      <c r="U252" s="103">
        <v>0</v>
      </c>
      <c r="V252" s="102">
        <v>0</v>
      </c>
      <c r="W252" s="123">
        <v>0</v>
      </c>
      <c r="X252" s="120">
        <v>0</v>
      </c>
    </row>
    <row r="253" spans="1:24" ht="24" customHeight="1" hidden="1">
      <c r="A253" s="214" t="s">
        <v>376</v>
      </c>
      <c r="B253" s="215"/>
      <c r="C253" s="215"/>
      <c r="D253" s="215"/>
      <c r="E253" s="215"/>
      <c r="F253" s="43"/>
      <c r="G253" s="217" t="s">
        <v>198</v>
      </c>
      <c r="H253" s="218"/>
      <c r="I253" s="218"/>
      <c r="J253" s="218"/>
      <c r="K253" s="218"/>
      <c r="L253" s="218"/>
      <c r="M253" s="218"/>
      <c r="N253" s="218"/>
      <c r="O253" s="218"/>
      <c r="P253" s="218"/>
      <c r="Q253" s="273"/>
      <c r="R253" s="55">
        <f>R254</f>
        <v>0</v>
      </c>
      <c r="S253" s="104">
        <f aca="true" t="shared" si="83" ref="S253:X254">S254</f>
        <v>0</v>
      </c>
      <c r="T253" s="105">
        <f t="shared" si="83"/>
        <v>0</v>
      </c>
      <c r="U253" s="105">
        <f t="shared" si="83"/>
        <v>0</v>
      </c>
      <c r="V253" s="104">
        <f t="shared" si="83"/>
        <v>0</v>
      </c>
      <c r="W253" s="131">
        <f t="shared" si="83"/>
        <v>0</v>
      </c>
      <c r="X253" s="130">
        <f t="shared" si="83"/>
        <v>0</v>
      </c>
    </row>
    <row r="254" spans="1:24" s="76" customFormat="1" ht="24" customHeight="1" hidden="1">
      <c r="A254" s="214" t="s">
        <v>377</v>
      </c>
      <c r="B254" s="215"/>
      <c r="C254" s="215"/>
      <c r="D254" s="215"/>
      <c r="E254" s="215"/>
      <c r="F254" s="43"/>
      <c r="G254" s="217" t="s">
        <v>200</v>
      </c>
      <c r="H254" s="218"/>
      <c r="I254" s="218"/>
      <c r="J254" s="218"/>
      <c r="K254" s="218"/>
      <c r="L254" s="218"/>
      <c r="M254" s="218"/>
      <c r="N254" s="218"/>
      <c r="O254" s="218"/>
      <c r="P254" s="218"/>
      <c r="Q254" s="273"/>
      <c r="R254" s="55">
        <f>R255</f>
        <v>0</v>
      </c>
      <c r="S254" s="104">
        <f t="shared" si="83"/>
        <v>0</v>
      </c>
      <c r="T254" s="105">
        <f t="shared" si="83"/>
        <v>0</v>
      </c>
      <c r="U254" s="105">
        <f t="shared" si="83"/>
        <v>0</v>
      </c>
      <c r="V254" s="104">
        <f t="shared" si="83"/>
        <v>0</v>
      </c>
      <c r="W254" s="131">
        <f t="shared" si="83"/>
        <v>0</v>
      </c>
      <c r="X254" s="130">
        <f t="shared" si="83"/>
        <v>0</v>
      </c>
    </row>
    <row r="255" spans="1:24" s="76" customFormat="1" ht="24" customHeight="1" hidden="1">
      <c r="A255" s="214" t="s">
        <v>378</v>
      </c>
      <c r="B255" s="215"/>
      <c r="C255" s="215"/>
      <c r="D255" s="215"/>
      <c r="E255" s="215"/>
      <c r="F255" s="43"/>
      <c r="G255" s="217" t="s">
        <v>202</v>
      </c>
      <c r="H255" s="218"/>
      <c r="I255" s="218"/>
      <c r="J255" s="218"/>
      <c r="K255" s="218"/>
      <c r="L255" s="218"/>
      <c r="M255" s="218"/>
      <c r="N255" s="218"/>
      <c r="O255" s="218"/>
      <c r="P255" s="218"/>
      <c r="Q255" s="273"/>
      <c r="R255" s="55">
        <f>R256+R257</f>
        <v>0</v>
      </c>
      <c r="S255" s="104">
        <f aca="true" t="shared" si="84" ref="S255:X255">S256+S257</f>
        <v>0</v>
      </c>
      <c r="T255" s="105">
        <f t="shared" si="84"/>
        <v>0</v>
      </c>
      <c r="U255" s="105">
        <f t="shared" si="84"/>
        <v>0</v>
      </c>
      <c r="V255" s="104">
        <f t="shared" si="84"/>
        <v>0</v>
      </c>
      <c r="W255" s="131">
        <f t="shared" si="84"/>
        <v>0</v>
      </c>
      <c r="X255" s="130">
        <f t="shared" si="84"/>
        <v>0</v>
      </c>
    </row>
    <row r="256" spans="1:24" ht="12.75" hidden="1">
      <c r="A256" s="214" t="s">
        <v>384</v>
      </c>
      <c r="B256" s="215"/>
      <c r="C256" s="215"/>
      <c r="D256" s="215"/>
      <c r="E256" s="215"/>
      <c r="F256" s="216"/>
      <c r="G256" s="217" t="s">
        <v>43</v>
      </c>
      <c r="H256" s="218"/>
      <c r="I256" s="218"/>
      <c r="J256" s="218"/>
      <c r="K256" s="218"/>
      <c r="L256" s="218"/>
      <c r="M256" s="218"/>
      <c r="N256" s="218"/>
      <c r="O256" s="218"/>
      <c r="P256" s="218"/>
      <c r="Q256" s="218"/>
      <c r="R256" s="56">
        <f>SUM(S256:V256)</f>
        <v>0</v>
      </c>
      <c r="S256" s="102">
        <v>0</v>
      </c>
      <c r="T256" s="103">
        <v>0</v>
      </c>
      <c r="U256" s="103">
        <v>0</v>
      </c>
      <c r="V256" s="102">
        <v>0</v>
      </c>
      <c r="W256" s="123">
        <v>0</v>
      </c>
      <c r="X256" s="120">
        <v>0</v>
      </c>
    </row>
    <row r="257" spans="1:24" ht="12.75" hidden="1">
      <c r="A257" s="214" t="s">
        <v>385</v>
      </c>
      <c r="B257" s="215"/>
      <c r="C257" s="215"/>
      <c r="D257" s="215"/>
      <c r="E257" s="215"/>
      <c r="F257" s="216"/>
      <c r="G257" s="173" t="s">
        <v>71</v>
      </c>
      <c r="H257" s="174"/>
      <c r="I257" s="174"/>
      <c r="J257" s="174"/>
      <c r="K257" s="174"/>
      <c r="L257" s="174"/>
      <c r="M257" s="174"/>
      <c r="N257" s="174"/>
      <c r="O257" s="174"/>
      <c r="P257" s="174"/>
      <c r="Q257" s="174"/>
      <c r="R257" s="56">
        <f>SUM(S257:V257)</f>
        <v>0</v>
      </c>
      <c r="S257" s="102">
        <v>0</v>
      </c>
      <c r="T257" s="103">
        <v>0</v>
      </c>
      <c r="U257" s="103">
        <v>0</v>
      </c>
      <c r="V257" s="102">
        <v>0</v>
      </c>
      <c r="W257" s="123">
        <v>0</v>
      </c>
      <c r="X257" s="120">
        <v>0</v>
      </c>
    </row>
    <row r="258" spans="1:24" s="4" customFormat="1" ht="12.75">
      <c r="A258" s="200" t="s">
        <v>142</v>
      </c>
      <c r="B258" s="201"/>
      <c r="C258" s="201"/>
      <c r="D258" s="201"/>
      <c r="E258" s="201"/>
      <c r="F258" s="202"/>
      <c r="G258" s="203" t="s">
        <v>56</v>
      </c>
      <c r="H258" s="204"/>
      <c r="I258" s="204"/>
      <c r="J258" s="204"/>
      <c r="K258" s="204"/>
      <c r="L258" s="204"/>
      <c r="M258" s="204"/>
      <c r="N258" s="204"/>
      <c r="O258" s="204"/>
      <c r="P258" s="204"/>
      <c r="Q258" s="204"/>
      <c r="R258" s="38">
        <f>R259</f>
        <v>5328600</v>
      </c>
      <c r="S258" s="64">
        <f aca="true" t="shared" si="85" ref="S258:X258">S259</f>
        <v>1652000</v>
      </c>
      <c r="T258" s="30">
        <f t="shared" si="85"/>
        <v>2014800</v>
      </c>
      <c r="U258" s="30">
        <f t="shared" si="85"/>
        <v>1161800</v>
      </c>
      <c r="V258" s="64">
        <f t="shared" si="85"/>
        <v>500000</v>
      </c>
      <c r="W258" s="38">
        <f t="shared" si="85"/>
        <v>5526100</v>
      </c>
      <c r="X258" s="114">
        <f t="shared" si="85"/>
        <v>5658800</v>
      </c>
    </row>
    <row r="259" spans="1:24" s="49" customFormat="1" ht="12.75">
      <c r="A259" s="205" t="s">
        <v>143</v>
      </c>
      <c r="B259" s="206"/>
      <c r="C259" s="206"/>
      <c r="D259" s="206"/>
      <c r="E259" s="206"/>
      <c r="F259" s="47"/>
      <c r="G259" s="267" t="s">
        <v>177</v>
      </c>
      <c r="H259" s="268"/>
      <c r="I259" s="268"/>
      <c r="J259" s="268"/>
      <c r="K259" s="268"/>
      <c r="L259" s="268"/>
      <c r="M259" s="268"/>
      <c r="N259" s="268"/>
      <c r="O259" s="268"/>
      <c r="P259" s="268"/>
      <c r="Q259" s="269"/>
      <c r="R259" s="53">
        <f>R260+R265</f>
        <v>5328600</v>
      </c>
      <c r="S259" s="88">
        <f aca="true" t="shared" si="86" ref="S259:X259">S260+S265</f>
        <v>1652000</v>
      </c>
      <c r="T259" s="51">
        <f t="shared" si="86"/>
        <v>2014800</v>
      </c>
      <c r="U259" s="51">
        <f t="shared" si="86"/>
        <v>1161800</v>
      </c>
      <c r="V259" s="88">
        <f t="shared" si="86"/>
        <v>500000</v>
      </c>
      <c r="W259" s="53">
        <f t="shared" si="86"/>
        <v>5526100</v>
      </c>
      <c r="X259" s="115">
        <f t="shared" si="86"/>
        <v>5658800</v>
      </c>
    </row>
    <row r="260" spans="1:24" s="3" customFormat="1" ht="12.75">
      <c r="A260" s="209" t="s">
        <v>178</v>
      </c>
      <c r="B260" s="210"/>
      <c r="C260" s="210"/>
      <c r="D260" s="210"/>
      <c r="E260" s="210"/>
      <c r="F260" s="211"/>
      <c r="G260" s="212" t="s">
        <v>176</v>
      </c>
      <c r="H260" s="213"/>
      <c r="I260" s="213"/>
      <c r="J260" s="213"/>
      <c r="K260" s="213"/>
      <c r="L260" s="213"/>
      <c r="M260" s="213"/>
      <c r="N260" s="213"/>
      <c r="O260" s="213"/>
      <c r="P260" s="213"/>
      <c r="Q260" s="213"/>
      <c r="R260" s="54">
        <f>R261</f>
        <v>87200</v>
      </c>
      <c r="S260" s="90">
        <f aca="true" t="shared" si="87" ref="S260:X263">S261</f>
        <v>25000</v>
      </c>
      <c r="T260" s="31">
        <f t="shared" si="87"/>
        <v>25000</v>
      </c>
      <c r="U260" s="31">
        <f t="shared" si="87"/>
        <v>5000</v>
      </c>
      <c r="V260" s="90">
        <f t="shared" si="87"/>
        <v>32200</v>
      </c>
      <c r="W260" s="54">
        <f t="shared" si="87"/>
        <v>90400</v>
      </c>
      <c r="X260" s="116">
        <f t="shared" si="87"/>
        <v>92600</v>
      </c>
    </row>
    <row r="261" spans="1:24" ht="33.75" customHeight="1">
      <c r="A261" s="214" t="s">
        <v>392</v>
      </c>
      <c r="B261" s="215"/>
      <c r="C261" s="215"/>
      <c r="D261" s="215"/>
      <c r="E261" s="215"/>
      <c r="F261" s="216"/>
      <c r="G261" s="217" t="s">
        <v>389</v>
      </c>
      <c r="H261" s="218"/>
      <c r="I261" s="218"/>
      <c r="J261" s="218"/>
      <c r="K261" s="218"/>
      <c r="L261" s="218"/>
      <c r="M261" s="218"/>
      <c r="N261" s="218"/>
      <c r="O261" s="218"/>
      <c r="P261" s="218"/>
      <c r="Q261" s="218"/>
      <c r="R261" s="55">
        <f>R262</f>
        <v>87200</v>
      </c>
      <c r="S261" s="65">
        <f t="shared" si="87"/>
        <v>25000</v>
      </c>
      <c r="T261" s="32">
        <f t="shared" si="87"/>
        <v>25000</v>
      </c>
      <c r="U261" s="32">
        <f t="shared" si="87"/>
        <v>5000</v>
      </c>
      <c r="V261" s="65">
        <f t="shared" si="87"/>
        <v>32200</v>
      </c>
      <c r="W261" s="55">
        <f t="shared" si="87"/>
        <v>90400</v>
      </c>
      <c r="X261" s="117">
        <f t="shared" si="87"/>
        <v>92600</v>
      </c>
    </row>
    <row r="262" spans="1:24" ht="12.75">
      <c r="A262" s="214" t="s">
        <v>393</v>
      </c>
      <c r="B262" s="215"/>
      <c r="C262" s="215"/>
      <c r="D262" s="215"/>
      <c r="E262" s="215"/>
      <c r="F262" s="216"/>
      <c r="G262" s="217" t="s">
        <v>390</v>
      </c>
      <c r="H262" s="218"/>
      <c r="I262" s="218"/>
      <c r="J262" s="218"/>
      <c r="K262" s="218"/>
      <c r="L262" s="218"/>
      <c r="M262" s="218"/>
      <c r="N262" s="218"/>
      <c r="O262" s="218"/>
      <c r="P262" s="218"/>
      <c r="Q262" s="218"/>
      <c r="R262" s="55">
        <f>R263</f>
        <v>87200</v>
      </c>
      <c r="S262" s="65">
        <f t="shared" si="87"/>
        <v>25000</v>
      </c>
      <c r="T262" s="32">
        <f t="shared" si="87"/>
        <v>25000</v>
      </c>
      <c r="U262" s="32">
        <f t="shared" si="87"/>
        <v>5000</v>
      </c>
      <c r="V262" s="65">
        <f t="shared" si="87"/>
        <v>32200</v>
      </c>
      <c r="W262" s="55">
        <f t="shared" si="87"/>
        <v>90400</v>
      </c>
      <c r="X262" s="117">
        <f t="shared" si="87"/>
        <v>92600</v>
      </c>
    </row>
    <row r="263" spans="1:24" ht="35.25" customHeight="1">
      <c r="A263" s="214" t="s">
        <v>394</v>
      </c>
      <c r="B263" s="215"/>
      <c r="C263" s="215"/>
      <c r="D263" s="215"/>
      <c r="E263" s="215"/>
      <c r="F263" s="216"/>
      <c r="G263" s="217" t="s">
        <v>391</v>
      </c>
      <c r="H263" s="218"/>
      <c r="I263" s="218"/>
      <c r="J263" s="218"/>
      <c r="K263" s="218"/>
      <c r="L263" s="218"/>
      <c r="M263" s="218"/>
      <c r="N263" s="218"/>
      <c r="O263" s="218"/>
      <c r="P263" s="218"/>
      <c r="Q263" s="218"/>
      <c r="R263" s="55">
        <f>R264</f>
        <v>87200</v>
      </c>
      <c r="S263" s="65">
        <f t="shared" si="87"/>
        <v>25000</v>
      </c>
      <c r="T263" s="32">
        <f t="shared" si="87"/>
        <v>25000</v>
      </c>
      <c r="U263" s="32">
        <f t="shared" si="87"/>
        <v>5000</v>
      </c>
      <c r="V263" s="65">
        <f t="shared" si="87"/>
        <v>32200</v>
      </c>
      <c r="W263" s="55">
        <f t="shared" si="87"/>
        <v>90400</v>
      </c>
      <c r="X263" s="117">
        <f t="shared" si="87"/>
        <v>92600</v>
      </c>
    </row>
    <row r="264" spans="1:24" ht="24" customHeight="1" hidden="1">
      <c r="A264" s="214" t="s">
        <v>395</v>
      </c>
      <c r="B264" s="215"/>
      <c r="C264" s="215"/>
      <c r="D264" s="215"/>
      <c r="E264" s="215"/>
      <c r="F264" s="216"/>
      <c r="G264" s="217" t="s">
        <v>219</v>
      </c>
      <c r="H264" s="218"/>
      <c r="I264" s="218"/>
      <c r="J264" s="218"/>
      <c r="K264" s="218"/>
      <c r="L264" s="218"/>
      <c r="M264" s="218"/>
      <c r="N264" s="218"/>
      <c r="O264" s="218"/>
      <c r="P264" s="218"/>
      <c r="Q264" s="218"/>
      <c r="R264" s="56">
        <f>SUM(S264:V264)</f>
        <v>87200</v>
      </c>
      <c r="S264" s="102">
        <f>25000</f>
        <v>25000</v>
      </c>
      <c r="T264" s="103">
        <f>25000</f>
        <v>25000</v>
      </c>
      <c r="U264" s="103">
        <f>5000</f>
        <v>5000</v>
      </c>
      <c r="V264" s="102">
        <f>32200</f>
        <v>32200</v>
      </c>
      <c r="W264" s="123">
        <v>90400</v>
      </c>
      <c r="X264" s="120">
        <v>92600</v>
      </c>
    </row>
    <row r="265" spans="1:24" s="3" customFormat="1" ht="12.75">
      <c r="A265" s="209" t="s">
        <v>144</v>
      </c>
      <c r="B265" s="210"/>
      <c r="C265" s="210"/>
      <c r="D265" s="210"/>
      <c r="E265" s="210"/>
      <c r="F265" s="211"/>
      <c r="G265" s="212" t="s">
        <v>57</v>
      </c>
      <c r="H265" s="213"/>
      <c r="I265" s="213"/>
      <c r="J265" s="213"/>
      <c r="K265" s="213"/>
      <c r="L265" s="213"/>
      <c r="M265" s="213"/>
      <c r="N265" s="213"/>
      <c r="O265" s="213"/>
      <c r="P265" s="213"/>
      <c r="Q265" s="213"/>
      <c r="R265" s="54">
        <f>R266</f>
        <v>5241400</v>
      </c>
      <c r="S265" s="90">
        <f aca="true" t="shared" si="88" ref="S265:X265">S266</f>
        <v>1627000</v>
      </c>
      <c r="T265" s="31">
        <f t="shared" si="88"/>
        <v>1989800</v>
      </c>
      <c r="U265" s="31">
        <f t="shared" si="88"/>
        <v>1156800</v>
      </c>
      <c r="V265" s="90">
        <f t="shared" si="88"/>
        <v>467800</v>
      </c>
      <c r="W265" s="54">
        <f t="shared" si="88"/>
        <v>5435700</v>
      </c>
      <c r="X265" s="116">
        <f t="shared" si="88"/>
        <v>5566200</v>
      </c>
    </row>
    <row r="266" spans="1:24" ht="35.25" customHeight="1">
      <c r="A266" s="214" t="s">
        <v>386</v>
      </c>
      <c r="B266" s="215"/>
      <c r="C266" s="215"/>
      <c r="D266" s="215"/>
      <c r="E266" s="215"/>
      <c r="F266" s="216"/>
      <c r="G266" s="217" t="s">
        <v>389</v>
      </c>
      <c r="H266" s="218"/>
      <c r="I266" s="218"/>
      <c r="J266" s="218"/>
      <c r="K266" s="218"/>
      <c r="L266" s="218"/>
      <c r="M266" s="218"/>
      <c r="N266" s="218"/>
      <c r="O266" s="218"/>
      <c r="P266" s="218"/>
      <c r="Q266" s="218"/>
      <c r="R266" s="55">
        <f>R267</f>
        <v>5241400</v>
      </c>
      <c r="S266" s="65">
        <f aca="true" t="shared" si="89" ref="S266:X266">SUM(S269:S269)</f>
        <v>1627000</v>
      </c>
      <c r="T266" s="32">
        <f t="shared" si="89"/>
        <v>1989800</v>
      </c>
      <c r="U266" s="32">
        <f t="shared" si="89"/>
        <v>1156800</v>
      </c>
      <c r="V266" s="65">
        <f t="shared" si="89"/>
        <v>467800</v>
      </c>
      <c r="W266" s="55">
        <f t="shared" si="89"/>
        <v>5435700</v>
      </c>
      <c r="X266" s="117">
        <f t="shared" si="89"/>
        <v>5566200</v>
      </c>
    </row>
    <row r="267" spans="1:24" ht="12.75">
      <c r="A267" s="214" t="s">
        <v>387</v>
      </c>
      <c r="B267" s="215"/>
      <c r="C267" s="215"/>
      <c r="D267" s="215"/>
      <c r="E267" s="215"/>
      <c r="F267" s="216"/>
      <c r="G267" s="217" t="s">
        <v>390</v>
      </c>
      <c r="H267" s="218"/>
      <c r="I267" s="218"/>
      <c r="J267" s="218"/>
      <c r="K267" s="218"/>
      <c r="L267" s="218"/>
      <c r="M267" s="218"/>
      <c r="N267" s="218"/>
      <c r="O267" s="218"/>
      <c r="P267" s="218"/>
      <c r="Q267" s="218"/>
      <c r="R267" s="55">
        <f>R268</f>
        <v>5241400</v>
      </c>
      <c r="S267" s="65">
        <f aca="true" t="shared" si="90" ref="S267:X267">SUM(S269:S269)</f>
        <v>1627000</v>
      </c>
      <c r="T267" s="32">
        <f t="shared" si="90"/>
        <v>1989800</v>
      </c>
      <c r="U267" s="32">
        <f t="shared" si="90"/>
        <v>1156800</v>
      </c>
      <c r="V267" s="65">
        <f t="shared" si="90"/>
        <v>467800</v>
      </c>
      <c r="W267" s="55">
        <f t="shared" si="90"/>
        <v>5435700</v>
      </c>
      <c r="X267" s="117">
        <f t="shared" si="90"/>
        <v>5566200</v>
      </c>
    </row>
    <row r="268" spans="1:24" ht="35.25" customHeight="1">
      <c r="A268" s="214" t="s">
        <v>388</v>
      </c>
      <c r="B268" s="215"/>
      <c r="C268" s="215"/>
      <c r="D268" s="215"/>
      <c r="E268" s="215"/>
      <c r="F268" s="216"/>
      <c r="G268" s="217" t="s">
        <v>391</v>
      </c>
      <c r="H268" s="218"/>
      <c r="I268" s="218"/>
      <c r="J268" s="218"/>
      <c r="K268" s="218"/>
      <c r="L268" s="218"/>
      <c r="M268" s="218"/>
      <c r="N268" s="218"/>
      <c r="O268" s="218"/>
      <c r="P268" s="218"/>
      <c r="Q268" s="218"/>
      <c r="R268" s="55">
        <f>R269</f>
        <v>5241400</v>
      </c>
      <c r="S268" s="65">
        <f aca="true" t="shared" si="91" ref="S268:X268">SUM(S269:S269)</f>
        <v>1627000</v>
      </c>
      <c r="T268" s="32">
        <f t="shared" si="91"/>
        <v>1989800</v>
      </c>
      <c r="U268" s="32">
        <f t="shared" si="91"/>
        <v>1156800</v>
      </c>
      <c r="V268" s="65">
        <f t="shared" si="91"/>
        <v>467800</v>
      </c>
      <c r="W268" s="55">
        <f t="shared" si="91"/>
        <v>5435700</v>
      </c>
      <c r="X268" s="117">
        <f t="shared" si="91"/>
        <v>5566200</v>
      </c>
    </row>
    <row r="269" spans="1:24" ht="24" customHeight="1" hidden="1">
      <c r="A269" s="214" t="s">
        <v>400</v>
      </c>
      <c r="B269" s="215"/>
      <c r="C269" s="215"/>
      <c r="D269" s="215"/>
      <c r="E269" s="215"/>
      <c r="F269" s="216"/>
      <c r="G269" s="217" t="s">
        <v>219</v>
      </c>
      <c r="H269" s="218"/>
      <c r="I269" s="218"/>
      <c r="J269" s="218"/>
      <c r="K269" s="218"/>
      <c r="L269" s="218"/>
      <c r="M269" s="218"/>
      <c r="N269" s="218"/>
      <c r="O269" s="218"/>
      <c r="P269" s="218"/>
      <c r="Q269" s="218"/>
      <c r="R269" s="56">
        <f>SUM(S269:V269)</f>
        <v>5241400</v>
      </c>
      <c r="S269" s="102">
        <f>1627000</f>
        <v>1627000</v>
      </c>
      <c r="T269" s="103">
        <f>1989800</f>
        <v>1989800</v>
      </c>
      <c r="U269" s="103">
        <f>1156800</f>
        <v>1156800</v>
      </c>
      <c r="V269" s="102">
        <f>467800</f>
        <v>467800</v>
      </c>
      <c r="W269" s="123">
        <v>5435700</v>
      </c>
      <c r="X269" s="120">
        <v>5566200</v>
      </c>
    </row>
    <row r="270" spans="1:24" s="4" customFormat="1" ht="16.5" customHeight="1">
      <c r="A270" s="200" t="s">
        <v>152</v>
      </c>
      <c r="B270" s="201"/>
      <c r="C270" s="201"/>
      <c r="D270" s="201"/>
      <c r="E270" s="201"/>
      <c r="F270" s="202"/>
      <c r="G270" s="203" t="s">
        <v>58</v>
      </c>
      <c r="H270" s="204"/>
      <c r="I270" s="204"/>
      <c r="J270" s="204"/>
      <c r="K270" s="204"/>
      <c r="L270" s="204"/>
      <c r="M270" s="204"/>
      <c r="N270" s="204"/>
      <c r="O270" s="204"/>
      <c r="P270" s="204"/>
      <c r="Q270" s="204"/>
      <c r="R270" s="38">
        <f>R271+R277</f>
        <v>2315200</v>
      </c>
      <c r="S270" s="64">
        <f aca="true" t="shared" si="92" ref="S270:X270">S271+S277</f>
        <v>748000</v>
      </c>
      <c r="T270" s="30">
        <f t="shared" si="92"/>
        <v>1035200</v>
      </c>
      <c r="U270" s="30">
        <f t="shared" si="92"/>
        <v>332000</v>
      </c>
      <c r="V270" s="64">
        <f t="shared" si="92"/>
        <v>200000</v>
      </c>
      <c r="W270" s="38">
        <f t="shared" si="92"/>
        <v>2400700</v>
      </c>
      <c r="X270" s="114">
        <f t="shared" si="92"/>
        <v>2458000</v>
      </c>
    </row>
    <row r="271" spans="1:24" s="49" customFormat="1" ht="16.5" customHeight="1">
      <c r="A271" s="205" t="s">
        <v>153</v>
      </c>
      <c r="B271" s="206"/>
      <c r="C271" s="206"/>
      <c r="D271" s="206"/>
      <c r="E271" s="206"/>
      <c r="F271" s="47"/>
      <c r="G271" s="207" t="s">
        <v>88</v>
      </c>
      <c r="H271" s="208"/>
      <c r="I271" s="208"/>
      <c r="J271" s="208"/>
      <c r="K271" s="208"/>
      <c r="L271" s="208"/>
      <c r="M271" s="208"/>
      <c r="N271" s="208"/>
      <c r="O271" s="208"/>
      <c r="P271" s="208"/>
      <c r="Q271" s="208"/>
      <c r="R271" s="53">
        <f>R272</f>
        <v>2305200</v>
      </c>
      <c r="S271" s="88">
        <f aca="true" t="shared" si="93" ref="S271:X275">S272</f>
        <v>745000</v>
      </c>
      <c r="T271" s="51">
        <f t="shared" si="93"/>
        <v>1032200</v>
      </c>
      <c r="U271" s="51">
        <f t="shared" si="93"/>
        <v>331000</v>
      </c>
      <c r="V271" s="88">
        <f t="shared" si="93"/>
        <v>197000</v>
      </c>
      <c r="W271" s="53">
        <f t="shared" si="93"/>
        <v>2390700</v>
      </c>
      <c r="X271" s="115">
        <f t="shared" si="93"/>
        <v>2448000</v>
      </c>
    </row>
    <row r="272" spans="1:24" s="3" customFormat="1" ht="16.5" customHeight="1">
      <c r="A272" s="209" t="s">
        <v>154</v>
      </c>
      <c r="B272" s="210"/>
      <c r="C272" s="210"/>
      <c r="D272" s="210"/>
      <c r="E272" s="210"/>
      <c r="F272" s="211"/>
      <c r="G272" s="212" t="s">
        <v>57</v>
      </c>
      <c r="H272" s="213"/>
      <c r="I272" s="213"/>
      <c r="J272" s="213"/>
      <c r="K272" s="213"/>
      <c r="L272" s="213"/>
      <c r="M272" s="213"/>
      <c r="N272" s="213"/>
      <c r="O272" s="213"/>
      <c r="P272" s="213"/>
      <c r="Q272" s="213"/>
      <c r="R272" s="54">
        <f>R273</f>
        <v>2305200</v>
      </c>
      <c r="S272" s="90">
        <f t="shared" si="93"/>
        <v>745000</v>
      </c>
      <c r="T272" s="31">
        <f t="shared" si="93"/>
        <v>1032200</v>
      </c>
      <c r="U272" s="31">
        <f t="shared" si="93"/>
        <v>331000</v>
      </c>
      <c r="V272" s="90">
        <f t="shared" si="93"/>
        <v>197000</v>
      </c>
      <c r="W272" s="54">
        <f t="shared" si="93"/>
        <v>2390700</v>
      </c>
      <c r="X272" s="116">
        <f t="shared" si="93"/>
        <v>2448000</v>
      </c>
    </row>
    <row r="273" spans="1:24" ht="35.25" customHeight="1">
      <c r="A273" s="214" t="s">
        <v>396</v>
      </c>
      <c r="B273" s="215"/>
      <c r="C273" s="215"/>
      <c r="D273" s="215"/>
      <c r="E273" s="215"/>
      <c r="F273" s="216"/>
      <c r="G273" s="217" t="s">
        <v>389</v>
      </c>
      <c r="H273" s="218"/>
      <c r="I273" s="218"/>
      <c r="J273" s="218"/>
      <c r="K273" s="218"/>
      <c r="L273" s="218"/>
      <c r="M273" s="218"/>
      <c r="N273" s="218"/>
      <c r="O273" s="218"/>
      <c r="P273" s="218"/>
      <c r="Q273" s="218"/>
      <c r="R273" s="55">
        <f>R274</f>
        <v>2305200</v>
      </c>
      <c r="S273" s="65">
        <f t="shared" si="93"/>
        <v>745000</v>
      </c>
      <c r="T273" s="32">
        <f t="shared" si="93"/>
        <v>1032200</v>
      </c>
      <c r="U273" s="32">
        <f t="shared" si="93"/>
        <v>331000</v>
      </c>
      <c r="V273" s="65">
        <f t="shared" si="93"/>
        <v>197000</v>
      </c>
      <c r="W273" s="55">
        <f t="shared" si="93"/>
        <v>2390700</v>
      </c>
      <c r="X273" s="117">
        <f t="shared" si="93"/>
        <v>2448000</v>
      </c>
    </row>
    <row r="274" spans="1:24" ht="12.75">
      <c r="A274" s="214" t="s">
        <v>397</v>
      </c>
      <c r="B274" s="215"/>
      <c r="C274" s="215"/>
      <c r="D274" s="215"/>
      <c r="E274" s="215"/>
      <c r="F274" s="216"/>
      <c r="G274" s="217" t="s">
        <v>390</v>
      </c>
      <c r="H274" s="218"/>
      <c r="I274" s="218"/>
      <c r="J274" s="218"/>
      <c r="K274" s="218"/>
      <c r="L274" s="218"/>
      <c r="M274" s="218"/>
      <c r="N274" s="218"/>
      <c r="O274" s="218"/>
      <c r="P274" s="218"/>
      <c r="Q274" s="218"/>
      <c r="R274" s="55">
        <f>R275</f>
        <v>2305200</v>
      </c>
      <c r="S274" s="65">
        <f t="shared" si="93"/>
        <v>745000</v>
      </c>
      <c r="T274" s="32">
        <f t="shared" si="93"/>
        <v>1032200</v>
      </c>
      <c r="U274" s="32">
        <f t="shared" si="93"/>
        <v>331000</v>
      </c>
      <c r="V274" s="65">
        <f t="shared" si="93"/>
        <v>197000</v>
      </c>
      <c r="W274" s="55">
        <f t="shared" si="93"/>
        <v>2390700</v>
      </c>
      <c r="X274" s="117">
        <f t="shared" si="93"/>
        <v>2448000</v>
      </c>
    </row>
    <row r="275" spans="1:24" ht="35.25" customHeight="1">
      <c r="A275" s="214" t="s">
        <v>398</v>
      </c>
      <c r="B275" s="215"/>
      <c r="C275" s="215"/>
      <c r="D275" s="215"/>
      <c r="E275" s="215"/>
      <c r="F275" s="216"/>
      <c r="G275" s="217" t="s">
        <v>391</v>
      </c>
      <c r="H275" s="218"/>
      <c r="I275" s="218"/>
      <c r="J275" s="218"/>
      <c r="K275" s="218"/>
      <c r="L275" s="218"/>
      <c r="M275" s="218"/>
      <c r="N275" s="218"/>
      <c r="O275" s="218"/>
      <c r="P275" s="218"/>
      <c r="Q275" s="218"/>
      <c r="R275" s="55">
        <f>R276</f>
        <v>2305200</v>
      </c>
      <c r="S275" s="65">
        <f t="shared" si="93"/>
        <v>745000</v>
      </c>
      <c r="T275" s="32">
        <f t="shared" si="93"/>
        <v>1032200</v>
      </c>
      <c r="U275" s="32">
        <f t="shared" si="93"/>
        <v>331000</v>
      </c>
      <c r="V275" s="65">
        <f t="shared" si="93"/>
        <v>197000</v>
      </c>
      <c r="W275" s="55">
        <f t="shared" si="93"/>
        <v>2390700</v>
      </c>
      <c r="X275" s="117">
        <f t="shared" si="93"/>
        <v>2448000</v>
      </c>
    </row>
    <row r="276" spans="1:24" ht="24" customHeight="1" hidden="1">
      <c r="A276" s="214" t="s">
        <v>399</v>
      </c>
      <c r="B276" s="215"/>
      <c r="C276" s="215"/>
      <c r="D276" s="215"/>
      <c r="E276" s="215"/>
      <c r="F276" s="216"/>
      <c r="G276" s="217" t="s">
        <v>219</v>
      </c>
      <c r="H276" s="218"/>
      <c r="I276" s="218"/>
      <c r="J276" s="218"/>
      <c r="K276" s="218"/>
      <c r="L276" s="218"/>
      <c r="M276" s="218"/>
      <c r="N276" s="218"/>
      <c r="O276" s="218"/>
      <c r="P276" s="218"/>
      <c r="Q276" s="218"/>
      <c r="R276" s="56">
        <f>SUM(S276:V276)</f>
        <v>2305200</v>
      </c>
      <c r="S276" s="102">
        <f>745000</f>
        <v>745000</v>
      </c>
      <c r="T276" s="103">
        <f>1032200</f>
        <v>1032200</v>
      </c>
      <c r="U276" s="103">
        <f>331000</f>
        <v>331000</v>
      </c>
      <c r="V276" s="102">
        <f>197000</f>
        <v>197000</v>
      </c>
      <c r="W276" s="123">
        <v>2390700</v>
      </c>
      <c r="X276" s="120">
        <v>2448000</v>
      </c>
    </row>
    <row r="277" spans="1:24" s="49" customFormat="1" ht="16.5" customHeight="1">
      <c r="A277" s="205" t="s">
        <v>401</v>
      </c>
      <c r="B277" s="206"/>
      <c r="C277" s="206"/>
      <c r="D277" s="206"/>
      <c r="E277" s="206"/>
      <c r="F277" s="47"/>
      <c r="G277" s="207" t="s">
        <v>402</v>
      </c>
      <c r="H277" s="208"/>
      <c r="I277" s="208"/>
      <c r="J277" s="208"/>
      <c r="K277" s="208"/>
      <c r="L277" s="208"/>
      <c r="M277" s="208"/>
      <c r="N277" s="208"/>
      <c r="O277" s="208"/>
      <c r="P277" s="208"/>
      <c r="Q277" s="208"/>
      <c r="R277" s="53">
        <f>R278</f>
        <v>10000</v>
      </c>
      <c r="S277" s="88">
        <f aca="true" t="shared" si="94" ref="S277:X277">S278</f>
        <v>3000</v>
      </c>
      <c r="T277" s="51">
        <f t="shared" si="94"/>
        <v>3000</v>
      </c>
      <c r="U277" s="51">
        <f t="shared" si="94"/>
        <v>1000</v>
      </c>
      <c r="V277" s="88">
        <f t="shared" si="94"/>
        <v>3000</v>
      </c>
      <c r="W277" s="53">
        <f t="shared" si="94"/>
        <v>10000</v>
      </c>
      <c r="X277" s="115">
        <f t="shared" si="94"/>
        <v>10000</v>
      </c>
    </row>
    <row r="278" spans="1:24" s="3" customFormat="1" ht="21" customHeight="1">
      <c r="A278" s="209" t="s">
        <v>155</v>
      </c>
      <c r="B278" s="210"/>
      <c r="C278" s="210"/>
      <c r="D278" s="210"/>
      <c r="E278" s="210"/>
      <c r="F278" s="211"/>
      <c r="G278" s="212" t="s">
        <v>59</v>
      </c>
      <c r="H278" s="213"/>
      <c r="I278" s="213"/>
      <c r="J278" s="213"/>
      <c r="K278" s="213"/>
      <c r="L278" s="213"/>
      <c r="M278" s="213"/>
      <c r="N278" s="213"/>
      <c r="O278" s="213"/>
      <c r="P278" s="213"/>
      <c r="Q278" s="213"/>
      <c r="R278" s="54">
        <f aca="true" t="shared" si="95" ref="R278:X281">R279</f>
        <v>10000</v>
      </c>
      <c r="S278" s="90">
        <f t="shared" si="95"/>
        <v>3000</v>
      </c>
      <c r="T278" s="31">
        <f t="shared" si="95"/>
        <v>3000</v>
      </c>
      <c r="U278" s="31">
        <f t="shared" si="95"/>
        <v>1000</v>
      </c>
      <c r="V278" s="90">
        <f t="shared" si="95"/>
        <v>3000</v>
      </c>
      <c r="W278" s="54">
        <f t="shared" si="95"/>
        <v>10000</v>
      </c>
      <c r="X278" s="116">
        <f t="shared" si="95"/>
        <v>10000</v>
      </c>
    </row>
    <row r="279" spans="1:24" ht="35.25" customHeight="1">
      <c r="A279" s="214" t="s">
        <v>403</v>
      </c>
      <c r="B279" s="215"/>
      <c r="C279" s="215"/>
      <c r="D279" s="215"/>
      <c r="E279" s="215"/>
      <c r="F279" s="216"/>
      <c r="G279" s="217" t="s">
        <v>389</v>
      </c>
      <c r="H279" s="218"/>
      <c r="I279" s="218"/>
      <c r="J279" s="218"/>
      <c r="K279" s="218"/>
      <c r="L279" s="218"/>
      <c r="M279" s="218"/>
      <c r="N279" s="218"/>
      <c r="O279" s="218"/>
      <c r="P279" s="218"/>
      <c r="Q279" s="218"/>
      <c r="R279" s="55">
        <f>R280</f>
        <v>10000</v>
      </c>
      <c r="S279" s="65">
        <f t="shared" si="95"/>
        <v>3000</v>
      </c>
      <c r="T279" s="32">
        <f t="shared" si="95"/>
        <v>3000</v>
      </c>
      <c r="U279" s="32">
        <f t="shared" si="95"/>
        <v>1000</v>
      </c>
      <c r="V279" s="65">
        <f t="shared" si="95"/>
        <v>3000</v>
      </c>
      <c r="W279" s="55">
        <f t="shared" si="95"/>
        <v>10000</v>
      </c>
      <c r="X279" s="117">
        <f t="shared" si="95"/>
        <v>10000</v>
      </c>
    </row>
    <row r="280" spans="1:24" ht="12.75">
      <c r="A280" s="214" t="s">
        <v>404</v>
      </c>
      <c r="B280" s="215"/>
      <c r="C280" s="215"/>
      <c r="D280" s="215"/>
      <c r="E280" s="215"/>
      <c r="F280" s="216"/>
      <c r="G280" s="217" t="s">
        <v>390</v>
      </c>
      <c r="H280" s="218"/>
      <c r="I280" s="218"/>
      <c r="J280" s="218"/>
      <c r="K280" s="218"/>
      <c r="L280" s="218"/>
      <c r="M280" s="218"/>
      <c r="N280" s="218"/>
      <c r="O280" s="218"/>
      <c r="P280" s="218"/>
      <c r="Q280" s="218"/>
      <c r="R280" s="55">
        <f>R281</f>
        <v>10000</v>
      </c>
      <c r="S280" s="65">
        <f t="shared" si="95"/>
        <v>3000</v>
      </c>
      <c r="T280" s="32">
        <f t="shared" si="95"/>
        <v>3000</v>
      </c>
      <c r="U280" s="32">
        <f t="shared" si="95"/>
        <v>1000</v>
      </c>
      <c r="V280" s="65">
        <f t="shared" si="95"/>
        <v>3000</v>
      </c>
      <c r="W280" s="55">
        <f t="shared" si="95"/>
        <v>10000</v>
      </c>
      <c r="X280" s="117">
        <f t="shared" si="95"/>
        <v>10000</v>
      </c>
    </row>
    <row r="281" spans="1:24" ht="35.25" customHeight="1" thickBot="1">
      <c r="A281" s="214" t="s">
        <v>405</v>
      </c>
      <c r="B281" s="215"/>
      <c r="C281" s="215"/>
      <c r="D281" s="215"/>
      <c r="E281" s="215"/>
      <c r="F281" s="216"/>
      <c r="G281" s="217" t="s">
        <v>391</v>
      </c>
      <c r="H281" s="218"/>
      <c r="I281" s="218"/>
      <c r="J281" s="218"/>
      <c r="K281" s="218"/>
      <c r="L281" s="218"/>
      <c r="M281" s="218"/>
      <c r="N281" s="218"/>
      <c r="O281" s="218"/>
      <c r="P281" s="218"/>
      <c r="Q281" s="218"/>
      <c r="R281" s="55">
        <f>R282</f>
        <v>10000</v>
      </c>
      <c r="S281" s="65">
        <f t="shared" si="95"/>
        <v>3000</v>
      </c>
      <c r="T281" s="32">
        <f t="shared" si="95"/>
        <v>3000</v>
      </c>
      <c r="U281" s="32">
        <f t="shared" si="95"/>
        <v>1000</v>
      </c>
      <c r="V281" s="65">
        <f t="shared" si="95"/>
        <v>3000</v>
      </c>
      <c r="W281" s="55">
        <f t="shared" si="95"/>
        <v>10000</v>
      </c>
      <c r="X281" s="117">
        <f t="shared" si="95"/>
        <v>10000</v>
      </c>
    </row>
    <row r="282" spans="1:24" ht="24" customHeight="1" hidden="1" thickBot="1">
      <c r="A282" s="214" t="s">
        <v>406</v>
      </c>
      <c r="B282" s="215"/>
      <c r="C282" s="215"/>
      <c r="D282" s="215"/>
      <c r="E282" s="215"/>
      <c r="F282" s="216"/>
      <c r="G282" s="217" t="s">
        <v>219</v>
      </c>
      <c r="H282" s="218"/>
      <c r="I282" s="218"/>
      <c r="J282" s="218"/>
      <c r="K282" s="218"/>
      <c r="L282" s="218"/>
      <c r="M282" s="218"/>
      <c r="N282" s="218"/>
      <c r="O282" s="218"/>
      <c r="P282" s="218"/>
      <c r="Q282" s="218"/>
      <c r="R282" s="56">
        <f>SUM(S282:V282)</f>
        <v>10000</v>
      </c>
      <c r="S282" s="91">
        <f>3000</f>
        <v>3000</v>
      </c>
      <c r="T282" s="33">
        <f>3000</f>
        <v>3000</v>
      </c>
      <c r="U282" s="33">
        <f>1000</f>
        <v>1000</v>
      </c>
      <c r="V282" s="91">
        <f>3000</f>
        <v>3000</v>
      </c>
      <c r="W282" s="56">
        <v>10000</v>
      </c>
      <c r="X282" s="119">
        <v>10000</v>
      </c>
    </row>
    <row r="283" spans="1:24" s="4" customFormat="1" ht="16.5" customHeight="1" hidden="1">
      <c r="A283" s="200" t="s">
        <v>145</v>
      </c>
      <c r="B283" s="201"/>
      <c r="C283" s="201"/>
      <c r="D283" s="201"/>
      <c r="E283" s="201"/>
      <c r="F283" s="202"/>
      <c r="G283" s="279" t="s">
        <v>60</v>
      </c>
      <c r="H283" s="280"/>
      <c r="I283" s="280"/>
      <c r="J283" s="280"/>
      <c r="K283" s="280"/>
      <c r="L283" s="280"/>
      <c r="M283" s="280"/>
      <c r="N283" s="280"/>
      <c r="O283" s="280"/>
      <c r="P283" s="280"/>
      <c r="Q283" s="280"/>
      <c r="R283" s="38">
        <f aca="true" t="shared" si="96" ref="R283:X283">R287+R284</f>
        <v>0</v>
      </c>
      <c r="S283" s="64">
        <f t="shared" si="96"/>
        <v>0</v>
      </c>
      <c r="T283" s="30">
        <f t="shared" si="96"/>
        <v>0</v>
      </c>
      <c r="U283" s="30">
        <f t="shared" si="96"/>
        <v>0</v>
      </c>
      <c r="V283" s="64">
        <f t="shared" si="96"/>
        <v>0</v>
      </c>
      <c r="W283" s="38">
        <f t="shared" si="96"/>
        <v>0</v>
      </c>
      <c r="X283" s="114">
        <f t="shared" si="96"/>
        <v>0</v>
      </c>
    </row>
    <row r="284" spans="1:24" s="4" customFormat="1" ht="16.5" customHeight="1" hidden="1">
      <c r="A284" s="209" t="s">
        <v>146</v>
      </c>
      <c r="B284" s="210"/>
      <c r="C284" s="210"/>
      <c r="D284" s="210"/>
      <c r="E284" s="210"/>
      <c r="F284" s="211"/>
      <c r="G284" s="281" t="s">
        <v>61</v>
      </c>
      <c r="H284" s="282"/>
      <c r="I284" s="282"/>
      <c r="J284" s="282"/>
      <c r="K284" s="282"/>
      <c r="L284" s="282"/>
      <c r="M284" s="282"/>
      <c r="N284" s="282"/>
      <c r="O284" s="282"/>
      <c r="P284" s="282"/>
      <c r="Q284" s="282"/>
      <c r="R284" s="54">
        <f>R285</f>
        <v>0</v>
      </c>
      <c r="S284" s="57">
        <f aca="true" t="shared" si="97" ref="S284:X285">S285</f>
        <v>0</v>
      </c>
      <c r="T284" s="31">
        <f t="shared" si="97"/>
        <v>0</v>
      </c>
      <c r="U284" s="31">
        <f t="shared" si="97"/>
        <v>0</v>
      </c>
      <c r="V284" s="35">
        <f t="shared" si="97"/>
        <v>0</v>
      </c>
      <c r="W284" s="54">
        <f t="shared" si="97"/>
        <v>0</v>
      </c>
      <c r="X284" s="116">
        <f t="shared" si="97"/>
        <v>0</v>
      </c>
    </row>
    <row r="285" spans="1:24" s="4" customFormat="1" ht="16.5" customHeight="1" hidden="1">
      <c r="A285" s="214" t="s">
        <v>407</v>
      </c>
      <c r="B285" s="215"/>
      <c r="C285" s="215"/>
      <c r="D285" s="215"/>
      <c r="E285" s="215"/>
      <c r="F285" s="216"/>
      <c r="G285" s="283" t="s">
        <v>62</v>
      </c>
      <c r="H285" s="284"/>
      <c r="I285" s="284"/>
      <c r="J285" s="284"/>
      <c r="K285" s="284"/>
      <c r="L285" s="284"/>
      <c r="M285" s="284"/>
      <c r="N285" s="284"/>
      <c r="O285" s="284"/>
      <c r="P285" s="284"/>
      <c r="Q285" s="284"/>
      <c r="R285" s="55">
        <f>R286</f>
        <v>0</v>
      </c>
      <c r="S285" s="58">
        <f t="shared" si="97"/>
        <v>0</v>
      </c>
      <c r="T285" s="32">
        <f t="shared" si="97"/>
        <v>0</v>
      </c>
      <c r="U285" s="32">
        <f t="shared" si="97"/>
        <v>0</v>
      </c>
      <c r="V285" s="36">
        <f t="shared" si="97"/>
        <v>0</v>
      </c>
      <c r="W285" s="55">
        <f t="shared" si="97"/>
        <v>0</v>
      </c>
      <c r="X285" s="117">
        <f t="shared" si="97"/>
        <v>0</v>
      </c>
    </row>
    <row r="286" spans="1:24" s="4" customFormat="1" ht="16.5" customHeight="1" hidden="1">
      <c r="A286" s="285" t="s">
        <v>408</v>
      </c>
      <c r="B286" s="286"/>
      <c r="C286" s="286"/>
      <c r="D286" s="286"/>
      <c r="E286" s="286"/>
      <c r="F286" s="287"/>
      <c r="G286" s="288" t="s">
        <v>63</v>
      </c>
      <c r="H286" s="289"/>
      <c r="I286" s="289"/>
      <c r="J286" s="289"/>
      <c r="K286" s="289"/>
      <c r="L286" s="289"/>
      <c r="M286" s="289"/>
      <c r="N286" s="289"/>
      <c r="O286" s="289"/>
      <c r="P286" s="289"/>
      <c r="Q286" s="289"/>
      <c r="R286" s="56">
        <f>SUM(S286:V286)</f>
        <v>0</v>
      </c>
      <c r="S286" s="101"/>
      <c r="T286" s="99"/>
      <c r="U286" s="99"/>
      <c r="V286" s="154"/>
      <c r="W286" s="100">
        <v>0</v>
      </c>
      <c r="X286" s="118">
        <v>0</v>
      </c>
    </row>
    <row r="287" spans="1:24" s="3" customFormat="1" ht="16.5" customHeight="1" hidden="1">
      <c r="A287" s="209" t="s">
        <v>165</v>
      </c>
      <c r="B287" s="210"/>
      <c r="C287" s="210"/>
      <c r="D287" s="210"/>
      <c r="E287" s="210"/>
      <c r="F287" s="211"/>
      <c r="G287" s="290" t="s">
        <v>77</v>
      </c>
      <c r="H287" s="291"/>
      <c r="I287" s="291"/>
      <c r="J287" s="291"/>
      <c r="K287" s="291"/>
      <c r="L287" s="291"/>
      <c r="M287" s="291"/>
      <c r="N287" s="291"/>
      <c r="O287" s="291"/>
      <c r="P287" s="291"/>
      <c r="Q287" s="291"/>
      <c r="R287" s="54">
        <f>R288</f>
        <v>0</v>
      </c>
      <c r="S287" s="59">
        <f aca="true" t="shared" si="98" ref="S287:V288">S288</f>
        <v>0</v>
      </c>
      <c r="T287" s="37">
        <f t="shared" si="98"/>
        <v>0</v>
      </c>
      <c r="U287" s="37">
        <f t="shared" si="98"/>
        <v>0</v>
      </c>
      <c r="V287" s="77">
        <f t="shared" si="98"/>
        <v>0</v>
      </c>
      <c r="W287" s="54"/>
      <c r="X287" s="116"/>
    </row>
    <row r="288" spans="1:24" ht="16.5" customHeight="1" hidden="1">
      <c r="A288" s="214" t="s">
        <v>409</v>
      </c>
      <c r="B288" s="215"/>
      <c r="C288" s="215"/>
      <c r="D288" s="215"/>
      <c r="E288" s="215"/>
      <c r="F288" s="216"/>
      <c r="G288" s="290" t="s">
        <v>46</v>
      </c>
      <c r="H288" s="291"/>
      <c r="I288" s="291"/>
      <c r="J288" s="291"/>
      <c r="K288" s="291"/>
      <c r="L288" s="291"/>
      <c r="M288" s="291"/>
      <c r="N288" s="291"/>
      <c r="O288" s="291"/>
      <c r="P288" s="291"/>
      <c r="Q288" s="291"/>
      <c r="R288" s="55">
        <f>R289</f>
        <v>0</v>
      </c>
      <c r="S288" s="58">
        <f t="shared" si="98"/>
        <v>0</v>
      </c>
      <c r="T288" s="32">
        <f t="shared" si="98"/>
        <v>0</v>
      </c>
      <c r="U288" s="32">
        <f t="shared" si="98"/>
        <v>0</v>
      </c>
      <c r="V288" s="36">
        <f t="shared" si="98"/>
        <v>0</v>
      </c>
      <c r="W288" s="55"/>
      <c r="X288" s="117"/>
    </row>
    <row r="289" spans="1:24" ht="16.5" customHeight="1" hidden="1">
      <c r="A289" s="285" t="s">
        <v>410</v>
      </c>
      <c r="B289" s="286"/>
      <c r="C289" s="286"/>
      <c r="D289" s="286"/>
      <c r="E289" s="286"/>
      <c r="F289" s="287"/>
      <c r="G289" s="292" t="s">
        <v>42</v>
      </c>
      <c r="H289" s="293"/>
      <c r="I289" s="293"/>
      <c r="J289" s="293"/>
      <c r="K289" s="293"/>
      <c r="L289" s="293"/>
      <c r="M289" s="293"/>
      <c r="N289" s="293"/>
      <c r="O289" s="293"/>
      <c r="P289" s="293"/>
      <c r="Q289" s="293"/>
      <c r="R289" s="56">
        <f>SUM(S289:V289)</f>
        <v>0</v>
      </c>
      <c r="S289" s="60"/>
      <c r="T289" s="34"/>
      <c r="U289" s="34"/>
      <c r="V289" s="78"/>
      <c r="W289" s="56"/>
      <c r="X289" s="119"/>
    </row>
    <row r="290" spans="1:24" ht="18.75" customHeight="1" thickBot="1">
      <c r="A290" s="294" t="s">
        <v>64</v>
      </c>
      <c r="B290" s="295"/>
      <c r="C290" s="295"/>
      <c r="D290" s="295"/>
      <c r="E290" s="295"/>
      <c r="F290" s="295"/>
      <c r="G290" s="295"/>
      <c r="H290" s="295"/>
      <c r="I290" s="295"/>
      <c r="J290" s="295"/>
      <c r="K290" s="295"/>
      <c r="L290" s="295"/>
      <c r="M290" s="295"/>
      <c r="N290" s="295"/>
      <c r="O290" s="295"/>
      <c r="P290" s="295"/>
      <c r="Q290" s="295"/>
      <c r="R290" s="87">
        <f aca="true" t="shared" si="99" ref="R290:X290">R283+R270+R258+R246+R202+R197+R186+R179+R169+R152+R131+R112+R88+R62+R56+R50+R25+R17+R120</f>
        <v>28663400</v>
      </c>
      <c r="S290" s="92">
        <f t="shared" si="99"/>
        <v>6829061</v>
      </c>
      <c r="T290" s="87">
        <f t="shared" si="99"/>
        <v>10092935</v>
      </c>
      <c r="U290" s="87">
        <f t="shared" si="99"/>
        <v>8531386</v>
      </c>
      <c r="V290" s="97">
        <f t="shared" si="99"/>
        <v>3210018</v>
      </c>
      <c r="W290" s="87">
        <f t="shared" si="99"/>
        <v>21645400</v>
      </c>
      <c r="X290" s="92">
        <f t="shared" si="99"/>
        <v>22709700</v>
      </c>
    </row>
    <row r="291" spans="1:24" ht="9.75" customHeight="1">
      <c r="A291" s="296"/>
      <c r="B291" s="296"/>
      <c r="C291" s="296"/>
      <c r="D291" s="296"/>
      <c r="E291" s="296"/>
      <c r="F291" s="296"/>
      <c r="G291" s="296"/>
      <c r="H291" s="296"/>
      <c r="I291" s="296"/>
      <c r="J291" s="296"/>
      <c r="K291" s="296"/>
      <c r="L291" s="296"/>
      <c r="M291" s="296"/>
      <c r="N291" s="296"/>
      <c r="O291" s="296"/>
      <c r="P291" s="296"/>
      <c r="Q291" s="296"/>
      <c r="R291" s="296"/>
      <c r="S291" s="296"/>
      <c r="T291" s="296"/>
      <c r="U291" s="296"/>
      <c r="V291" s="296"/>
      <c r="W291" s="44"/>
      <c r="X291" s="44"/>
    </row>
    <row r="292" spans="1:24" ht="15" customHeight="1">
      <c r="A292" s="297" t="s">
        <v>80</v>
      </c>
      <c r="B292" s="297"/>
      <c r="C292" s="297"/>
      <c r="D292" s="297"/>
      <c r="E292" s="297"/>
      <c r="F292" s="297"/>
      <c r="G292" s="297"/>
      <c r="H292" s="297"/>
      <c r="I292" s="297"/>
      <c r="J292" s="297"/>
      <c r="K292" s="297"/>
      <c r="L292" s="297"/>
      <c r="M292" s="297"/>
      <c r="N292" s="298" t="s">
        <v>81</v>
      </c>
      <c r="O292" s="298"/>
      <c r="P292" s="298"/>
      <c r="Q292" s="298"/>
      <c r="R292" s="298"/>
      <c r="S292" s="299"/>
      <c r="T292" s="299"/>
      <c r="U292" s="299"/>
      <c r="V292" s="299"/>
      <c r="W292" s="2"/>
      <c r="X292" s="2"/>
    </row>
    <row r="293" spans="1:24" ht="9" customHeight="1">
      <c r="A293" s="299"/>
      <c r="B293" s="299"/>
      <c r="C293" s="299"/>
      <c r="D293" s="299"/>
      <c r="E293" s="299"/>
      <c r="F293" s="299"/>
      <c r="G293" s="299"/>
      <c r="H293" s="299"/>
      <c r="I293" s="299"/>
      <c r="J293" s="2"/>
      <c r="K293" s="300" t="s">
        <v>65</v>
      </c>
      <c r="L293" s="300"/>
      <c r="M293" s="25"/>
      <c r="N293" s="301"/>
      <c r="O293" s="301"/>
      <c r="P293" s="300" t="s">
        <v>66</v>
      </c>
      <c r="Q293" s="300"/>
      <c r="R293" s="300"/>
      <c r="S293" s="299"/>
      <c r="T293" s="299"/>
      <c r="U293" s="299"/>
      <c r="V293" s="299"/>
      <c r="W293" s="2"/>
      <c r="X293" s="2"/>
    </row>
    <row r="294" spans="1:24" ht="15" customHeight="1">
      <c r="A294" s="297" t="s">
        <v>73</v>
      </c>
      <c r="B294" s="297"/>
      <c r="C294" s="297"/>
      <c r="D294" s="297"/>
      <c r="E294" s="297"/>
      <c r="F294" s="297"/>
      <c r="G294" s="297"/>
      <c r="H294" s="297"/>
      <c r="I294" s="297"/>
      <c r="J294" s="297"/>
      <c r="K294" s="297"/>
      <c r="L294" s="297"/>
      <c r="M294" s="297"/>
      <c r="N294" s="298" t="s">
        <v>74</v>
      </c>
      <c r="O294" s="298"/>
      <c r="P294" s="298"/>
      <c r="Q294" s="298"/>
      <c r="R294" s="298"/>
      <c r="S294" s="299"/>
      <c r="T294" s="299"/>
      <c r="U294" s="299"/>
      <c r="V294" s="299"/>
      <c r="W294" s="2"/>
      <c r="X294" s="2"/>
    </row>
    <row r="295" spans="1:24" ht="9" customHeight="1">
      <c r="A295" s="299"/>
      <c r="B295" s="299"/>
      <c r="C295" s="299"/>
      <c r="D295" s="299"/>
      <c r="E295" s="299"/>
      <c r="F295" s="299"/>
      <c r="G295" s="299"/>
      <c r="H295" s="299"/>
      <c r="I295" s="299"/>
      <c r="J295" s="2"/>
      <c r="K295" s="300" t="s">
        <v>65</v>
      </c>
      <c r="L295" s="300"/>
      <c r="M295" s="25"/>
      <c r="N295" s="301"/>
      <c r="O295" s="301"/>
      <c r="P295" s="300" t="s">
        <v>66</v>
      </c>
      <c r="Q295" s="300"/>
      <c r="R295" s="300"/>
      <c r="S295" s="299"/>
      <c r="T295" s="299"/>
      <c r="U295" s="299"/>
      <c r="V295" s="299"/>
      <c r="W295" s="2"/>
      <c r="X295" s="2"/>
    </row>
    <row r="296" spans="1:24" ht="12" customHeight="1">
      <c r="A296" s="302">
        <f>V4</f>
        <v>40909</v>
      </c>
      <c r="B296" s="303"/>
      <c r="C296" s="303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42"/>
      <c r="X296" s="42"/>
    </row>
    <row r="297" spans="1:24" ht="16.5" customHeight="1">
      <c r="A297" s="300" t="s">
        <v>67</v>
      </c>
      <c r="B297" s="300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134"/>
      <c r="X297" s="134"/>
    </row>
    <row r="298" spans="1:24" ht="16.5" customHeight="1">
      <c r="A298" s="133"/>
      <c r="B298" s="133"/>
      <c r="C298" s="133"/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133"/>
      <c r="U298" s="133"/>
      <c r="V298" s="133"/>
      <c r="W298" s="135"/>
      <c r="X298" s="135"/>
    </row>
    <row r="299" spans="23:24" ht="16.5" customHeight="1">
      <c r="W299" s="95"/>
      <c r="X299" s="95"/>
    </row>
    <row r="306" ht="12.75">
      <c r="R306" s="1" t="s">
        <v>69</v>
      </c>
    </row>
    <row r="313" spans="22:24" ht="12.75">
      <c r="V313" s="62"/>
      <c r="W313" s="134"/>
      <c r="X313" s="134"/>
    </row>
    <row r="314" spans="22:24" ht="12.75">
      <c r="V314" s="133"/>
      <c r="W314" s="135"/>
      <c r="X314" s="135"/>
    </row>
  </sheetData>
  <mergeCells count="592">
    <mergeCell ref="S295:V295"/>
    <mergeCell ref="A296:C296"/>
    <mergeCell ref="A297:B297"/>
    <mergeCell ref="A295:I295"/>
    <mergeCell ref="K295:L295"/>
    <mergeCell ref="N295:O295"/>
    <mergeCell ref="P295:R295"/>
    <mergeCell ref="S293:V293"/>
    <mergeCell ref="A294:H294"/>
    <mergeCell ref="I294:M294"/>
    <mergeCell ref="N294:R294"/>
    <mergeCell ref="S294:V294"/>
    <mergeCell ref="A293:I293"/>
    <mergeCell ref="K293:L293"/>
    <mergeCell ref="N293:O293"/>
    <mergeCell ref="P293:R293"/>
    <mergeCell ref="A290:Q290"/>
    <mergeCell ref="A291:V291"/>
    <mergeCell ref="A292:H292"/>
    <mergeCell ref="I292:M292"/>
    <mergeCell ref="N292:R292"/>
    <mergeCell ref="S292:V292"/>
    <mergeCell ref="A288:F288"/>
    <mergeCell ref="G288:Q288"/>
    <mergeCell ref="A289:F289"/>
    <mergeCell ref="G289:Q289"/>
    <mergeCell ref="A286:F286"/>
    <mergeCell ref="G286:Q286"/>
    <mergeCell ref="A287:F287"/>
    <mergeCell ref="G287:Q287"/>
    <mergeCell ref="A284:F284"/>
    <mergeCell ref="G284:Q284"/>
    <mergeCell ref="A285:F285"/>
    <mergeCell ref="G285:Q285"/>
    <mergeCell ref="A282:F282"/>
    <mergeCell ref="G282:Q282"/>
    <mergeCell ref="A283:F283"/>
    <mergeCell ref="G283:Q283"/>
    <mergeCell ref="A280:F280"/>
    <mergeCell ref="G280:Q280"/>
    <mergeCell ref="A281:F281"/>
    <mergeCell ref="G281:Q281"/>
    <mergeCell ref="A278:F278"/>
    <mergeCell ref="G278:Q278"/>
    <mergeCell ref="A279:F279"/>
    <mergeCell ref="G279:Q279"/>
    <mergeCell ref="A276:F276"/>
    <mergeCell ref="G276:Q276"/>
    <mergeCell ref="A277:E277"/>
    <mergeCell ref="G277:Q277"/>
    <mergeCell ref="A274:F274"/>
    <mergeCell ref="G274:Q274"/>
    <mergeCell ref="A275:F275"/>
    <mergeCell ref="G275:Q275"/>
    <mergeCell ref="A272:F272"/>
    <mergeCell ref="G272:Q272"/>
    <mergeCell ref="A273:F273"/>
    <mergeCell ref="G273:Q273"/>
    <mergeCell ref="A270:F270"/>
    <mergeCell ref="G270:Q270"/>
    <mergeCell ref="A271:E271"/>
    <mergeCell ref="G271:Q271"/>
    <mergeCell ref="A268:F268"/>
    <mergeCell ref="G268:Q268"/>
    <mergeCell ref="A269:F269"/>
    <mergeCell ref="G269:Q269"/>
    <mergeCell ref="A266:F266"/>
    <mergeCell ref="G266:Q266"/>
    <mergeCell ref="A267:F267"/>
    <mergeCell ref="G267:Q267"/>
    <mergeCell ref="A264:F264"/>
    <mergeCell ref="G264:Q264"/>
    <mergeCell ref="A265:F265"/>
    <mergeCell ref="G265:Q265"/>
    <mergeCell ref="A262:F262"/>
    <mergeCell ref="G262:Q262"/>
    <mergeCell ref="A263:F263"/>
    <mergeCell ref="G263:Q263"/>
    <mergeCell ref="A260:F260"/>
    <mergeCell ref="G260:Q260"/>
    <mergeCell ref="A261:F261"/>
    <mergeCell ref="G261:Q261"/>
    <mergeCell ref="A258:F258"/>
    <mergeCell ref="G258:Q258"/>
    <mergeCell ref="A259:E259"/>
    <mergeCell ref="G259:Q259"/>
    <mergeCell ref="A256:F256"/>
    <mergeCell ref="G256:Q256"/>
    <mergeCell ref="A257:F257"/>
    <mergeCell ref="G257:Q257"/>
    <mergeCell ref="A254:E254"/>
    <mergeCell ref="G254:Q254"/>
    <mergeCell ref="A255:E255"/>
    <mergeCell ref="G255:Q255"/>
    <mergeCell ref="A252:F252"/>
    <mergeCell ref="G252:Q252"/>
    <mergeCell ref="A253:E253"/>
    <mergeCell ref="G253:Q253"/>
    <mergeCell ref="A250:E250"/>
    <mergeCell ref="G250:Q250"/>
    <mergeCell ref="A251:F251"/>
    <mergeCell ref="G251:Q251"/>
    <mergeCell ref="A248:E248"/>
    <mergeCell ref="G248:Q248"/>
    <mergeCell ref="A249:E249"/>
    <mergeCell ref="G249:Q249"/>
    <mergeCell ref="A246:F246"/>
    <mergeCell ref="G246:Q246"/>
    <mergeCell ref="A247:F247"/>
    <mergeCell ref="G247:Q247"/>
    <mergeCell ref="A244:F244"/>
    <mergeCell ref="G244:Q244"/>
    <mergeCell ref="A245:F245"/>
    <mergeCell ref="G245:Q245"/>
    <mergeCell ref="A242:F242"/>
    <mergeCell ref="G242:Q242"/>
    <mergeCell ref="A243:F243"/>
    <mergeCell ref="G243:Q243"/>
    <mergeCell ref="A240:F240"/>
    <mergeCell ref="G240:Q240"/>
    <mergeCell ref="A241:F241"/>
    <mergeCell ref="G241:Q241"/>
    <mergeCell ref="A238:F238"/>
    <mergeCell ref="G238:Q238"/>
    <mergeCell ref="A239:F239"/>
    <mergeCell ref="G239:Q239"/>
    <mergeCell ref="A236:F236"/>
    <mergeCell ref="G236:Q236"/>
    <mergeCell ref="A237:F237"/>
    <mergeCell ref="G237:Q237"/>
    <mergeCell ref="A234:E234"/>
    <mergeCell ref="G234:Q234"/>
    <mergeCell ref="A235:E235"/>
    <mergeCell ref="G235:Q235"/>
    <mergeCell ref="A232:F232"/>
    <mergeCell ref="G232:Q232"/>
    <mergeCell ref="A233:E233"/>
    <mergeCell ref="G233:Q233"/>
    <mergeCell ref="A230:F230"/>
    <mergeCell ref="G230:Q230"/>
    <mergeCell ref="A231:F231"/>
    <mergeCell ref="G231:Q231"/>
    <mergeCell ref="A228:F228"/>
    <mergeCell ref="G228:Q228"/>
    <mergeCell ref="A229:F229"/>
    <mergeCell ref="G229:Q229"/>
    <mergeCell ref="A226:E226"/>
    <mergeCell ref="G226:Q226"/>
    <mergeCell ref="A227:E227"/>
    <mergeCell ref="G227:Q227"/>
    <mergeCell ref="A224:F224"/>
    <mergeCell ref="G224:Q224"/>
    <mergeCell ref="A225:E225"/>
    <mergeCell ref="G225:Q225"/>
    <mergeCell ref="G221:Q221"/>
    <mergeCell ref="A222:E222"/>
    <mergeCell ref="G222:Q222"/>
    <mergeCell ref="A223:F223"/>
    <mergeCell ref="G223:Q223"/>
    <mergeCell ref="A221:E221"/>
    <mergeCell ref="G218:Q218"/>
    <mergeCell ref="A219:F219"/>
    <mergeCell ref="G219:Q219"/>
    <mergeCell ref="A220:E220"/>
    <mergeCell ref="G220:Q220"/>
    <mergeCell ref="A218:F218"/>
    <mergeCell ref="A217:F217"/>
    <mergeCell ref="G217:Q217"/>
    <mergeCell ref="A214:F214"/>
    <mergeCell ref="G214:Q214"/>
    <mergeCell ref="A215:F215"/>
    <mergeCell ref="G215:Q215"/>
    <mergeCell ref="A216:F216"/>
    <mergeCell ref="G216:Q216"/>
    <mergeCell ref="A212:F212"/>
    <mergeCell ref="G212:Q212"/>
    <mergeCell ref="A213:F213"/>
    <mergeCell ref="G213:Q213"/>
    <mergeCell ref="A210:F210"/>
    <mergeCell ref="G210:Q210"/>
    <mergeCell ref="A211:F211"/>
    <mergeCell ref="G211:Q211"/>
    <mergeCell ref="A208:F208"/>
    <mergeCell ref="G208:Q208"/>
    <mergeCell ref="A209:F209"/>
    <mergeCell ref="G209:Q209"/>
    <mergeCell ref="G206:Q206"/>
    <mergeCell ref="G207:Q207"/>
    <mergeCell ref="A206:E206"/>
    <mergeCell ref="A207:E207"/>
    <mergeCell ref="A204:F204"/>
    <mergeCell ref="G204:Q204"/>
    <mergeCell ref="G205:Q205"/>
    <mergeCell ref="A205:E205"/>
    <mergeCell ref="A202:F202"/>
    <mergeCell ref="G202:Q202"/>
    <mergeCell ref="G203:Q203"/>
    <mergeCell ref="A203:E203"/>
    <mergeCell ref="A200:F200"/>
    <mergeCell ref="G200:Q200"/>
    <mergeCell ref="A201:F201"/>
    <mergeCell ref="G201:Q201"/>
    <mergeCell ref="A198:F198"/>
    <mergeCell ref="G198:Q198"/>
    <mergeCell ref="A199:F199"/>
    <mergeCell ref="G199:Q199"/>
    <mergeCell ref="A196:F196"/>
    <mergeCell ref="G196:Q196"/>
    <mergeCell ref="A197:F197"/>
    <mergeCell ref="G197:Q197"/>
    <mergeCell ref="A194:F194"/>
    <mergeCell ref="G194:Q194"/>
    <mergeCell ref="A195:F195"/>
    <mergeCell ref="G195:Q195"/>
    <mergeCell ref="A192:F192"/>
    <mergeCell ref="G192:Q192"/>
    <mergeCell ref="A193:F193"/>
    <mergeCell ref="G193:Q193"/>
    <mergeCell ref="G190:Q190"/>
    <mergeCell ref="G191:Q191"/>
    <mergeCell ref="A190:E190"/>
    <mergeCell ref="A191:E191"/>
    <mergeCell ref="A188:F188"/>
    <mergeCell ref="G188:Q188"/>
    <mergeCell ref="G189:Q189"/>
    <mergeCell ref="A189:E189"/>
    <mergeCell ref="A186:F186"/>
    <mergeCell ref="G186:Q186"/>
    <mergeCell ref="G187:Q187"/>
    <mergeCell ref="A187:F187"/>
    <mergeCell ref="G184:Q184"/>
    <mergeCell ref="G185:Q185"/>
    <mergeCell ref="A184:E184"/>
    <mergeCell ref="A185:E185"/>
    <mergeCell ref="G182:Q182"/>
    <mergeCell ref="G183:Q183"/>
    <mergeCell ref="A182:E182"/>
    <mergeCell ref="A183:E183"/>
    <mergeCell ref="A180:F180"/>
    <mergeCell ref="G180:Q180"/>
    <mergeCell ref="A181:E181"/>
    <mergeCell ref="G181:Q181"/>
    <mergeCell ref="G178:Q178"/>
    <mergeCell ref="G179:Q179"/>
    <mergeCell ref="A178:E178"/>
    <mergeCell ref="A179:E179"/>
    <mergeCell ref="G176:Q176"/>
    <mergeCell ref="G177:Q177"/>
    <mergeCell ref="A176:E176"/>
    <mergeCell ref="A177:E177"/>
    <mergeCell ref="G174:Q174"/>
    <mergeCell ref="G175:Q175"/>
    <mergeCell ref="A174:E174"/>
    <mergeCell ref="A175:E175"/>
    <mergeCell ref="G172:Q172"/>
    <mergeCell ref="G173:Q173"/>
    <mergeCell ref="A172:E172"/>
    <mergeCell ref="A173:E173"/>
    <mergeCell ref="A170:F170"/>
    <mergeCell ref="G170:Q170"/>
    <mergeCell ref="G171:Q171"/>
    <mergeCell ref="A171:E171"/>
    <mergeCell ref="G168:Q168"/>
    <mergeCell ref="G169:Q169"/>
    <mergeCell ref="A168:E168"/>
    <mergeCell ref="A169:E169"/>
    <mergeCell ref="G166:Q166"/>
    <mergeCell ref="G167:Q167"/>
    <mergeCell ref="A166:E166"/>
    <mergeCell ref="A167:E167"/>
    <mergeCell ref="G164:Q164"/>
    <mergeCell ref="A165:E165"/>
    <mergeCell ref="G165:Q165"/>
    <mergeCell ref="A164:E164"/>
    <mergeCell ref="G162:Q162"/>
    <mergeCell ref="G163:Q163"/>
    <mergeCell ref="A162:E162"/>
    <mergeCell ref="A163:E163"/>
    <mergeCell ref="G160:Q160"/>
    <mergeCell ref="G161:Q161"/>
    <mergeCell ref="A160:E160"/>
    <mergeCell ref="A161:E161"/>
    <mergeCell ref="G158:Q158"/>
    <mergeCell ref="G159:Q159"/>
    <mergeCell ref="A158:E158"/>
    <mergeCell ref="A159:E159"/>
    <mergeCell ref="G156:Q156"/>
    <mergeCell ref="G157:Q157"/>
    <mergeCell ref="A156:E156"/>
    <mergeCell ref="A157:E157"/>
    <mergeCell ref="G154:Q154"/>
    <mergeCell ref="G155:Q155"/>
    <mergeCell ref="A154:E154"/>
    <mergeCell ref="A155:E155"/>
    <mergeCell ref="G152:Q152"/>
    <mergeCell ref="A153:F153"/>
    <mergeCell ref="G153:Q153"/>
    <mergeCell ref="A152:E152"/>
    <mergeCell ref="A150:F150"/>
    <mergeCell ref="G150:Q150"/>
    <mergeCell ref="A151:F151"/>
    <mergeCell ref="G151:Q151"/>
    <mergeCell ref="A148:F148"/>
    <mergeCell ref="G148:Q148"/>
    <mergeCell ref="A149:F149"/>
    <mergeCell ref="G149:Q149"/>
    <mergeCell ref="A146:F146"/>
    <mergeCell ref="G146:Q146"/>
    <mergeCell ref="A147:F147"/>
    <mergeCell ref="G147:Q147"/>
    <mergeCell ref="A144:F144"/>
    <mergeCell ref="G144:Q144"/>
    <mergeCell ref="A145:F145"/>
    <mergeCell ref="G145:Q145"/>
    <mergeCell ref="A142:F142"/>
    <mergeCell ref="G142:Q142"/>
    <mergeCell ref="A143:F143"/>
    <mergeCell ref="G143:Q143"/>
    <mergeCell ref="A140:F140"/>
    <mergeCell ref="G140:Q140"/>
    <mergeCell ref="G141:Q141"/>
    <mergeCell ref="A141:E141"/>
    <mergeCell ref="A138:F138"/>
    <mergeCell ref="G138:Q138"/>
    <mergeCell ref="G139:Q139"/>
    <mergeCell ref="A139:E139"/>
    <mergeCell ref="A136:F136"/>
    <mergeCell ref="G136:Q136"/>
    <mergeCell ref="A137:F137"/>
    <mergeCell ref="G137:Q137"/>
    <mergeCell ref="A134:F134"/>
    <mergeCell ref="G134:Q134"/>
    <mergeCell ref="A135:F135"/>
    <mergeCell ref="G135:Q135"/>
    <mergeCell ref="G132:Q132"/>
    <mergeCell ref="G133:Q133"/>
    <mergeCell ref="A132:E132"/>
    <mergeCell ref="A133:E133"/>
    <mergeCell ref="A131:F131"/>
    <mergeCell ref="G131:Q131"/>
    <mergeCell ref="A130:E130"/>
    <mergeCell ref="F130:Q130"/>
    <mergeCell ref="G128:Q128"/>
    <mergeCell ref="G129:Q129"/>
    <mergeCell ref="A128:E128"/>
    <mergeCell ref="A129:E129"/>
    <mergeCell ref="A126:E126"/>
    <mergeCell ref="G126:Q126"/>
    <mergeCell ref="G127:Q127"/>
    <mergeCell ref="A127:E127"/>
    <mergeCell ref="A124:F124"/>
    <mergeCell ref="G124:Q124"/>
    <mergeCell ref="A125:F125"/>
    <mergeCell ref="G125:Q125"/>
    <mergeCell ref="G122:Q122"/>
    <mergeCell ref="A123:F123"/>
    <mergeCell ref="G123:Q123"/>
    <mergeCell ref="A122:E122"/>
    <mergeCell ref="G120:Q120"/>
    <mergeCell ref="A121:F121"/>
    <mergeCell ref="G121:Q121"/>
    <mergeCell ref="A120:E120"/>
    <mergeCell ref="A118:F118"/>
    <mergeCell ref="G118:Q118"/>
    <mergeCell ref="A119:F119"/>
    <mergeCell ref="G119:Q119"/>
    <mergeCell ref="A116:F116"/>
    <mergeCell ref="G116:Q116"/>
    <mergeCell ref="A117:F117"/>
    <mergeCell ref="G117:Q117"/>
    <mergeCell ref="A114:F114"/>
    <mergeCell ref="G114:Q114"/>
    <mergeCell ref="A115:F115"/>
    <mergeCell ref="G115:Q115"/>
    <mergeCell ref="G112:Q112"/>
    <mergeCell ref="G113:Q113"/>
    <mergeCell ref="A112:E112"/>
    <mergeCell ref="A113:E113"/>
    <mergeCell ref="G110:Q110"/>
    <mergeCell ref="G111:Q111"/>
    <mergeCell ref="A110:F110"/>
    <mergeCell ref="A111:F111"/>
    <mergeCell ref="G108:Q108"/>
    <mergeCell ref="G109:Q109"/>
    <mergeCell ref="A108:F108"/>
    <mergeCell ref="A109:F109"/>
    <mergeCell ref="A106:F106"/>
    <mergeCell ref="G106:Q106"/>
    <mergeCell ref="G107:Q107"/>
    <mergeCell ref="A107:F107"/>
    <mergeCell ref="A104:F104"/>
    <mergeCell ref="G104:Q104"/>
    <mergeCell ref="G105:Q105"/>
    <mergeCell ref="A105:F105"/>
    <mergeCell ref="A102:F102"/>
    <mergeCell ref="G102:Q102"/>
    <mergeCell ref="A103:F103"/>
    <mergeCell ref="G103:Q103"/>
    <mergeCell ref="A100:F100"/>
    <mergeCell ref="G100:Q100"/>
    <mergeCell ref="A101:F101"/>
    <mergeCell ref="G101:Q101"/>
    <mergeCell ref="A98:F98"/>
    <mergeCell ref="G98:Q98"/>
    <mergeCell ref="G99:Q99"/>
    <mergeCell ref="A99:F99"/>
    <mergeCell ref="A96:F96"/>
    <mergeCell ref="G96:Q96"/>
    <mergeCell ref="G97:Q97"/>
    <mergeCell ref="A97:F97"/>
    <mergeCell ref="G94:Q94"/>
    <mergeCell ref="G95:Q95"/>
    <mergeCell ref="A94:F94"/>
    <mergeCell ref="A95:F95"/>
    <mergeCell ref="A93:F93"/>
    <mergeCell ref="G93:Q93"/>
    <mergeCell ref="A92:F92"/>
    <mergeCell ref="G92:Q92"/>
    <mergeCell ref="G90:Q90"/>
    <mergeCell ref="G91:Q91"/>
    <mergeCell ref="A90:F90"/>
    <mergeCell ref="A91:F91"/>
    <mergeCell ref="G88:Q88"/>
    <mergeCell ref="A89:E89"/>
    <mergeCell ref="G89:Q89"/>
    <mergeCell ref="A88:F88"/>
    <mergeCell ref="A86:E86"/>
    <mergeCell ref="G86:Q86"/>
    <mergeCell ref="A87:E87"/>
    <mergeCell ref="G87:Q87"/>
    <mergeCell ref="G84:Q84"/>
    <mergeCell ref="G85:Q85"/>
    <mergeCell ref="A84:F84"/>
    <mergeCell ref="A85:E85"/>
    <mergeCell ref="A82:F82"/>
    <mergeCell ref="G82:Q82"/>
    <mergeCell ref="A83:F83"/>
    <mergeCell ref="G83:Q83"/>
    <mergeCell ref="A80:F80"/>
    <mergeCell ref="G80:Q80"/>
    <mergeCell ref="A81:F81"/>
    <mergeCell ref="G81:Q81"/>
    <mergeCell ref="A78:F78"/>
    <mergeCell ref="G78:Q78"/>
    <mergeCell ref="A79:F79"/>
    <mergeCell ref="G79:Q79"/>
    <mergeCell ref="G76:Q76"/>
    <mergeCell ref="A77:F77"/>
    <mergeCell ref="G77:Q77"/>
    <mergeCell ref="A76:E76"/>
    <mergeCell ref="A74:F74"/>
    <mergeCell ref="G74:Q74"/>
    <mergeCell ref="A75:F75"/>
    <mergeCell ref="G75:Q75"/>
    <mergeCell ref="A72:F72"/>
    <mergeCell ref="G72:Q72"/>
    <mergeCell ref="A73:F73"/>
    <mergeCell ref="G73:Q73"/>
    <mergeCell ref="A70:F70"/>
    <mergeCell ref="G71:Q71"/>
    <mergeCell ref="G70:P70"/>
    <mergeCell ref="A71:F71"/>
    <mergeCell ref="G65:Q65"/>
    <mergeCell ref="G66:Q66"/>
    <mergeCell ref="A65:F65"/>
    <mergeCell ref="A66:F66"/>
    <mergeCell ref="A62:F62"/>
    <mergeCell ref="G62:Q62"/>
    <mergeCell ref="G63:Q63"/>
    <mergeCell ref="G64:Q64"/>
    <mergeCell ref="A64:F64"/>
    <mergeCell ref="A63:E63"/>
    <mergeCell ref="A60:F60"/>
    <mergeCell ref="G60:Q60"/>
    <mergeCell ref="A61:F61"/>
    <mergeCell ref="G61:Q61"/>
    <mergeCell ref="G58:Q58"/>
    <mergeCell ref="A59:F59"/>
    <mergeCell ref="G59:Q59"/>
    <mergeCell ref="A58:F58"/>
    <mergeCell ref="A56:F56"/>
    <mergeCell ref="A57:F57"/>
    <mergeCell ref="G57:Q57"/>
    <mergeCell ref="G56:Q56"/>
    <mergeCell ref="A54:F54"/>
    <mergeCell ref="G54:Q54"/>
    <mergeCell ref="A55:F55"/>
    <mergeCell ref="G55:Q55"/>
    <mergeCell ref="A52:F52"/>
    <mergeCell ref="G52:Q52"/>
    <mergeCell ref="A53:F53"/>
    <mergeCell ref="G53:Q53"/>
    <mergeCell ref="G50:Q50"/>
    <mergeCell ref="A51:F51"/>
    <mergeCell ref="G51:Q51"/>
    <mergeCell ref="A50:F50"/>
    <mergeCell ref="A48:F48"/>
    <mergeCell ref="G48:Q48"/>
    <mergeCell ref="A49:F49"/>
    <mergeCell ref="G49:Q49"/>
    <mergeCell ref="A46:F46"/>
    <mergeCell ref="G46:Q46"/>
    <mergeCell ref="A47:F47"/>
    <mergeCell ref="G47:Q47"/>
    <mergeCell ref="A44:F44"/>
    <mergeCell ref="G44:Q44"/>
    <mergeCell ref="A45:F45"/>
    <mergeCell ref="G45:Q45"/>
    <mergeCell ref="A42:F42"/>
    <mergeCell ref="G42:Q42"/>
    <mergeCell ref="A43:F43"/>
    <mergeCell ref="G43:Q43"/>
    <mergeCell ref="A40:F40"/>
    <mergeCell ref="G40:Q40"/>
    <mergeCell ref="A41:F41"/>
    <mergeCell ref="G41:Q41"/>
    <mergeCell ref="A38:F38"/>
    <mergeCell ref="G38:Q38"/>
    <mergeCell ref="A39:F39"/>
    <mergeCell ref="G39:Q39"/>
    <mergeCell ref="A36:F36"/>
    <mergeCell ref="G36:Q36"/>
    <mergeCell ref="A37:F37"/>
    <mergeCell ref="G37:Q37"/>
    <mergeCell ref="A34:F34"/>
    <mergeCell ref="G34:Q34"/>
    <mergeCell ref="A35:F35"/>
    <mergeCell ref="G35:Q35"/>
    <mergeCell ref="A32:F32"/>
    <mergeCell ref="G32:Q32"/>
    <mergeCell ref="A33:F33"/>
    <mergeCell ref="G33:Q33"/>
    <mergeCell ref="A30:F30"/>
    <mergeCell ref="G30:Q30"/>
    <mergeCell ref="A31:F31"/>
    <mergeCell ref="G31:Q31"/>
    <mergeCell ref="A28:F28"/>
    <mergeCell ref="G28:Q28"/>
    <mergeCell ref="A29:F29"/>
    <mergeCell ref="G29:Q29"/>
    <mergeCell ref="G26:Q26"/>
    <mergeCell ref="A27:F27"/>
    <mergeCell ref="G27:Q27"/>
    <mergeCell ref="A26:E26"/>
    <mergeCell ref="G24:Q24"/>
    <mergeCell ref="A25:F25"/>
    <mergeCell ref="G25:Q25"/>
    <mergeCell ref="A24:F24"/>
    <mergeCell ref="A22:F22"/>
    <mergeCell ref="G22:Q22"/>
    <mergeCell ref="A23:F23"/>
    <mergeCell ref="G23:Q23"/>
    <mergeCell ref="A20:F20"/>
    <mergeCell ref="G20:Q20"/>
    <mergeCell ref="A21:F21"/>
    <mergeCell ref="G21:Q21"/>
    <mergeCell ref="A18:E18"/>
    <mergeCell ref="G18:Q18"/>
    <mergeCell ref="A19:F19"/>
    <mergeCell ref="G19:Q19"/>
    <mergeCell ref="A16:F16"/>
    <mergeCell ref="G16:Q16"/>
    <mergeCell ref="A17:F17"/>
    <mergeCell ref="G17:Q17"/>
    <mergeCell ref="W13:W14"/>
    <mergeCell ref="X13:X14"/>
    <mergeCell ref="A15:F15"/>
    <mergeCell ref="G15:Q15"/>
    <mergeCell ref="A12:V12"/>
    <mergeCell ref="A13:F14"/>
    <mergeCell ref="G13:Q14"/>
    <mergeCell ref="R13:R14"/>
    <mergeCell ref="S13:V13"/>
    <mergeCell ref="A8:F8"/>
    <mergeCell ref="A9:H9"/>
    <mergeCell ref="A11:C11"/>
    <mergeCell ref="G11:P11"/>
    <mergeCell ref="K4:Q4"/>
    <mergeCell ref="A6:E6"/>
    <mergeCell ref="F6:R6"/>
    <mergeCell ref="A7:G7"/>
    <mergeCell ref="H7:S7"/>
    <mergeCell ref="A1:V1"/>
    <mergeCell ref="A3:K3"/>
    <mergeCell ref="L3:N3"/>
    <mergeCell ref="O3:P3"/>
    <mergeCell ref="A69:F69"/>
    <mergeCell ref="G69:Q69"/>
    <mergeCell ref="A67:F67"/>
    <mergeCell ref="G67:Q67"/>
    <mergeCell ref="A68:F68"/>
    <mergeCell ref="G68:Q68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21"/>
  <sheetViews>
    <sheetView tabSelected="1" workbookViewId="0" topLeftCell="A1">
      <pane xSplit="16" ySplit="1" topLeftCell="Q2" activePane="bottomRight" state="frozen"/>
      <selection pane="topLeft" activeCell="A1" sqref="A1"/>
      <selection pane="topRight" activeCell="Q1" sqref="Q1"/>
      <selection pane="bottomLeft" activeCell="A2" sqref="A2"/>
      <selection pane="bottomRight" activeCell="R13" sqref="R13:X14"/>
    </sheetView>
  </sheetViews>
  <sheetFormatPr defaultColWidth="9.00390625" defaultRowHeight="12.75"/>
  <cols>
    <col min="1" max="1" width="7.00390625" style="1" customWidth="1"/>
    <col min="2" max="2" width="5.75390625" style="1" customWidth="1"/>
    <col min="3" max="3" width="3.75390625" style="1" customWidth="1"/>
    <col min="4" max="4" width="0.12890625" style="1" customWidth="1"/>
    <col min="5" max="5" width="3.125" style="1" customWidth="1"/>
    <col min="6" max="6" width="0.2421875" style="1" customWidth="1"/>
    <col min="7" max="7" width="10.75390625" style="1" customWidth="1"/>
    <col min="8" max="8" width="11.75390625" style="1" customWidth="1"/>
    <col min="9" max="9" width="0.12890625" style="1" customWidth="1"/>
    <col min="10" max="10" width="3.75390625" style="1" customWidth="1"/>
    <col min="11" max="11" width="15.75390625" style="1" customWidth="1"/>
    <col min="12" max="12" width="3.75390625" style="1" customWidth="1"/>
    <col min="13" max="13" width="4.75390625" style="1" customWidth="1"/>
    <col min="14" max="14" width="1.12109375" style="1" customWidth="1"/>
    <col min="15" max="15" width="1.75390625" style="1" customWidth="1"/>
    <col min="16" max="16" width="0.2421875" style="1" customWidth="1"/>
    <col min="17" max="17" width="2.00390625" style="1" hidden="1" customWidth="1"/>
    <col min="18" max="18" width="13.625" style="1" customWidth="1"/>
    <col min="19" max="22" width="12.25390625" style="1" customWidth="1"/>
    <col min="23" max="23" width="13.375" style="1" customWidth="1"/>
    <col min="24" max="24" width="13.625" style="1" customWidth="1"/>
    <col min="25" max="25" width="12.75390625" style="1" bestFit="1" customWidth="1"/>
    <col min="26" max="26" width="12.75390625" style="1" customWidth="1"/>
    <col min="27" max="16384" width="9.125" style="1" customWidth="1"/>
  </cols>
  <sheetData>
    <row r="1" spans="1:24" ht="19.5" customHeight="1" thickBo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40"/>
      <c r="X1" s="40"/>
    </row>
    <row r="2" spans="1:24" ht="14.25" customHeight="1" thickBot="1">
      <c r="A2" s="89"/>
      <c r="B2" s="89"/>
      <c r="C2" s="89"/>
      <c r="D2" s="89"/>
      <c r="E2" s="89"/>
      <c r="F2" s="89"/>
      <c r="G2" s="89"/>
      <c r="H2" s="89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4" t="s">
        <v>1</v>
      </c>
      <c r="W2" s="63"/>
      <c r="X2" s="63"/>
    </row>
    <row r="3" spans="1:24" ht="18" customHeight="1">
      <c r="A3" s="178" t="s">
        <v>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9" t="s">
        <v>185</v>
      </c>
      <c r="M3" s="179"/>
      <c r="N3" s="179"/>
      <c r="O3" s="177" t="s">
        <v>3</v>
      </c>
      <c r="P3" s="177"/>
      <c r="Q3" s="7"/>
      <c r="R3" s="7"/>
      <c r="S3" s="7"/>
      <c r="T3" s="7"/>
      <c r="U3" s="8" t="s">
        <v>4</v>
      </c>
      <c r="V3" s="15" t="s">
        <v>102</v>
      </c>
      <c r="W3" s="83"/>
      <c r="X3" s="83"/>
    </row>
    <row r="4" spans="1:24" ht="24.7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180" t="s">
        <v>186</v>
      </c>
      <c r="L4" s="180"/>
      <c r="M4" s="180"/>
      <c r="N4" s="180"/>
      <c r="O4" s="180"/>
      <c r="P4" s="180"/>
      <c r="Q4" s="180"/>
      <c r="R4" s="11"/>
      <c r="S4" s="11"/>
      <c r="T4" s="11"/>
      <c r="U4" s="8" t="s">
        <v>5</v>
      </c>
      <c r="V4" s="93">
        <v>40909</v>
      </c>
      <c r="W4" s="83"/>
      <c r="X4" s="83"/>
    </row>
    <row r="5" spans="1:24" ht="18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9"/>
      <c r="V5" s="16"/>
      <c r="W5" s="84"/>
      <c r="X5" s="84"/>
    </row>
    <row r="6" spans="1:24" ht="18.75" customHeight="1">
      <c r="A6" s="181" t="s">
        <v>6</v>
      </c>
      <c r="B6" s="181"/>
      <c r="C6" s="181"/>
      <c r="D6" s="181"/>
      <c r="E6" s="181"/>
      <c r="F6" s="182" t="s">
        <v>68</v>
      </c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9"/>
      <c r="T6" s="19"/>
      <c r="U6" s="23" t="s">
        <v>7</v>
      </c>
      <c r="V6" s="17">
        <v>79546239</v>
      </c>
      <c r="W6" s="84"/>
      <c r="X6" s="84"/>
    </row>
    <row r="7" spans="1:24" ht="15.75" customHeight="1">
      <c r="A7" s="181" t="s">
        <v>8</v>
      </c>
      <c r="B7" s="181"/>
      <c r="C7" s="181"/>
      <c r="D7" s="181"/>
      <c r="E7" s="181"/>
      <c r="F7" s="181"/>
      <c r="G7" s="181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20"/>
      <c r="U7" s="21" t="s">
        <v>9</v>
      </c>
      <c r="V7" s="17"/>
      <c r="W7" s="84"/>
      <c r="X7" s="84"/>
    </row>
    <row r="8" spans="1:24" ht="15.75" customHeight="1">
      <c r="A8" s="181" t="s">
        <v>10</v>
      </c>
      <c r="B8" s="181"/>
      <c r="C8" s="181"/>
      <c r="D8" s="181"/>
      <c r="E8" s="181"/>
      <c r="F8" s="181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22"/>
      <c r="V8" s="17"/>
      <c r="W8" s="84"/>
      <c r="X8" s="84"/>
    </row>
    <row r="9" spans="1:24" ht="13.5" customHeight="1" thickBot="1">
      <c r="A9" s="181" t="s">
        <v>11</v>
      </c>
      <c r="B9" s="181"/>
      <c r="C9" s="181"/>
      <c r="D9" s="181"/>
      <c r="E9" s="181"/>
      <c r="F9" s="181"/>
      <c r="G9" s="181"/>
      <c r="H9" s="181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24" t="s">
        <v>12</v>
      </c>
      <c r="V9" s="18" t="s">
        <v>13</v>
      </c>
      <c r="W9" s="83"/>
      <c r="X9" s="83"/>
    </row>
    <row r="10" spans="1:24" ht="8.25" customHeight="1">
      <c r="A10" s="10" t="s">
        <v>69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6.5" customHeight="1">
      <c r="A11" s="184" t="s">
        <v>14</v>
      </c>
      <c r="B11" s="184"/>
      <c r="C11" s="184"/>
      <c r="D11" s="11"/>
      <c r="E11" s="11"/>
      <c r="F11" s="11"/>
      <c r="G11" s="185" t="s">
        <v>187</v>
      </c>
      <c r="H11" s="185"/>
      <c r="I11" s="185"/>
      <c r="J11" s="185"/>
      <c r="K11" s="185"/>
      <c r="L11" s="185"/>
      <c r="M11" s="185"/>
      <c r="N11" s="185"/>
      <c r="O11" s="185"/>
      <c r="P11" s="185"/>
      <c r="Q11" s="11"/>
      <c r="R11" s="11"/>
      <c r="S11" s="96"/>
      <c r="T11" s="11"/>
      <c r="U11" s="11"/>
      <c r="V11" s="11"/>
      <c r="W11" s="11"/>
      <c r="X11" s="11"/>
    </row>
    <row r="12" spans="1:24" ht="6.75" customHeight="1" thickBot="1">
      <c r="A12" s="186" t="s">
        <v>69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41"/>
      <c r="X12" s="41"/>
    </row>
    <row r="13" spans="1:24" ht="18" customHeight="1">
      <c r="A13" s="187" t="s">
        <v>15</v>
      </c>
      <c r="B13" s="188"/>
      <c r="C13" s="188"/>
      <c r="D13" s="188"/>
      <c r="E13" s="188"/>
      <c r="F13" s="189"/>
      <c r="G13" s="193" t="s">
        <v>16</v>
      </c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7" t="s">
        <v>89</v>
      </c>
      <c r="S13" s="195" t="s">
        <v>17</v>
      </c>
      <c r="T13" s="196"/>
      <c r="U13" s="196"/>
      <c r="V13" s="196"/>
      <c r="W13" s="197" t="s">
        <v>167</v>
      </c>
      <c r="X13" s="199" t="s">
        <v>436</v>
      </c>
    </row>
    <row r="14" spans="1:24" ht="16.5" customHeight="1" thickBot="1">
      <c r="A14" s="190"/>
      <c r="B14" s="191"/>
      <c r="C14" s="191"/>
      <c r="D14" s="191"/>
      <c r="E14" s="191"/>
      <c r="F14" s="192"/>
      <c r="G14" s="194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0"/>
      <c r="S14" s="26" t="s">
        <v>18</v>
      </c>
      <c r="T14" s="27" t="s">
        <v>19</v>
      </c>
      <c r="U14" s="28" t="s">
        <v>20</v>
      </c>
      <c r="V14" s="28" t="s">
        <v>21</v>
      </c>
      <c r="W14" s="198"/>
      <c r="X14" s="166"/>
    </row>
    <row r="15" spans="1:24" ht="15.75" customHeight="1" thickBot="1">
      <c r="A15" s="167" t="s">
        <v>22</v>
      </c>
      <c r="B15" s="168"/>
      <c r="C15" s="168"/>
      <c r="D15" s="168"/>
      <c r="E15" s="168"/>
      <c r="F15" s="169"/>
      <c r="G15" s="164" t="s">
        <v>23</v>
      </c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61" t="s">
        <v>24</v>
      </c>
      <c r="S15" s="50" t="s">
        <v>25</v>
      </c>
      <c r="T15" s="151" t="s">
        <v>26</v>
      </c>
      <c r="U15" s="152" t="s">
        <v>27</v>
      </c>
      <c r="V15" s="39" t="s">
        <v>28</v>
      </c>
      <c r="W15" s="46" t="s">
        <v>83</v>
      </c>
      <c r="X15" s="112" t="s">
        <v>84</v>
      </c>
    </row>
    <row r="16" spans="1:26" s="5" customFormat="1" ht="16.5" customHeight="1">
      <c r="A16" s="165" t="s">
        <v>110</v>
      </c>
      <c r="B16" s="161"/>
      <c r="C16" s="161"/>
      <c r="D16" s="161"/>
      <c r="E16" s="161"/>
      <c r="F16" s="162"/>
      <c r="G16" s="163" t="s">
        <v>29</v>
      </c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52">
        <f aca="true" t="shared" si="0" ref="R16:X16">R17+R25+R50+R56+R62+R88+R186+R202+R246+R258+R270+R283+R131+R169+R179+R120</f>
        <v>19698000</v>
      </c>
      <c r="S16" s="153">
        <f t="shared" si="0"/>
        <v>6589086</v>
      </c>
      <c r="T16" s="33">
        <f t="shared" si="0"/>
        <v>5850210</v>
      </c>
      <c r="U16" s="33">
        <f t="shared" si="0"/>
        <v>4288661</v>
      </c>
      <c r="V16" s="153">
        <f t="shared" si="0"/>
        <v>2970043</v>
      </c>
      <c r="W16" s="52">
        <f t="shared" si="0"/>
        <v>20895700</v>
      </c>
      <c r="X16" s="113">
        <f t="shared" si="0"/>
        <v>21942100</v>
      </c>
      <c r="Y16" s="29">
        <f>SUM(S16:V16)</f>
        <v>19698000</v>
      </c>
      <c r="Z16" s="29">
        <f>R16-S16-T16-U16-V16</f>
        <v>0</v>
      </c>
    </row>
    <row r="17" spans="1:26" s="4" customFormat="1" ht="24.75" customHeight="1">
      <c r="A17" s="200" t="s">
        <v>111</v>
      </c>
      <c r="B17" s="201"/>
      <c r="C17" s="201"/>
      <c r="D17" s="201"/>
      <c r="E17" s="201"/>
      <c r="F17" s="202"/>
      <c r="G17" s="203" t="s">
        <v>30</v>
      </c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38">
        <f>R18</f>
        <v>1057600</v>
      </c>
      <c r="S17" s="64">
        <f aca="true" t="shared" si="1" ref="S17:X21">S18</f>
        <v>549000</v>
      </c>
      <c r="T17" s="30">
        <f t="shared" si="1"/>
        <v>181000</v>
      </c>
      <c r="U17" s="30">
        <f t="shared" si="1"/>
        <v>169000</v>
      </c>
      <c r="V17" s="64">
        <f t="shared" si="1"/>
        <v>158600</v>
      </c>
      <c r="W17" s="38">
        <f t="shared" si="1"/>
        <v>1096800</v>
      </c>
      <c r="X17" s="114">
        <f t="shared" si="1"/>
        <v>1123000</v>
      </c>
      <c r="Y17" s="29">
        <f>SUM(S17:V17)</f>
        <v>1057600</v>
      </c>
      <c r="Z17" s="29">
        <f>R17-S17-T17-U17-V17</f>
        <v>0</v>
      </c>
    </row>
    <row r="18" spans="1:26" s="49" customFormat="1" ht="23.25" customHeight="1">
      <c r="A18" s="205" t="s">
        <v>112</v>
      </c>
      <c r="B18" s="206"/>
      <c r="C18" s="206"/>
      <c r="D18" s="206"/>
      <c r="E18" s="206"/>
      <c r="F18" s="47"/>
      <c r="G18" s="207" t="s">
        <v>85</v>
      </c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53">
        <f>R19</f>
        <v>1057600</v>
      </c>
      <c r="S18" s="88">
        <f t="shared" si="1"/>
        <v>549000</v>
      </c>
      <c r="T18" s="51">
        <f t="shared" si="1"/>
        <v>181000</v>
      </c>
      <c r="U18" s="51">
        <f t="shared" si="1"/>
        <v>169000</v>
      </c>
      <c r="V18" s="88">
        <f t="shared" si="1"/>
        <v>158600</v>
      </c>
      <c r="W18" s="53">
        <f t="shared" si="1"/>
        <v>1096800</v>
      </c>
      <c r="X18" s="115">
        <f t="shared" si="1"/>
        <v>1123000</v>
      </c>
      <c r="Y18" s="48"/>
      <c r="Z18" s="29">
        <f>R18-S18-T18-U18-V18</f>
        <v>0</v>
      </c>
    </row>
    <row r="19" spans="1:26" s="3" customFormat="1" ht="12.75">
      <c r="A19" s="209" t="s">
        <v>113</v>
      </c>
      <c r="B19" s="210"/>
      <c r="C19" s="210"/>
      <c r="D19" s="210"/>
      <c r="E19" s="210"/>
      <c r="F19" s="211"/>
      <c r="G19" s="212" t="s">
        <v>31</v>
      </c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54">
        <f>R20</f>
        <v>1057600</v>
      </c>
      <c r="S19" s="90">
        <f t="shared" si="1"/>
        <v>549000</v>
      </c>
      <c r="T19" s="31">
        <f t="shared" si="1"/>
        <v>181000</v>
      </c>
      <c r="U19" s="31">
        <f t="shared" si="1"/>
        <v>169000</v>
      </c>
      <c r="V19" s="90">
        <f t="shared" si="1"/>
        <v>158600</v>
      </c>
      <c r="W19" s="54">
        <f t="shared" si="1"/>
        <v>1096800</v>
      </c>
      <c r="X19" s="116">
        <f t="shared" si="1"/>
        <v>1123000</v>
      </c>
      <c r="Y19" s="29">
        <f aca="true" t="shared" si="2" ref="Y19:Y25">SUM(S19:V19)</f>
        <v>1057600</v>
      </c>
      <c r="Z19" s="29">
        <f>R19-S19-T19-U19-V19</f>
        <v>0</v>
      </c>
    </row>
    <row r="20" spans="1:26" ht="48.75" customHeight="1">
      <c r="A20" s="214" t="s">
        <v>220</v>
      </c>
      <c r="B20" s="215"/>
      <c r="C20" s="215"/>
      <c r="D20" s="215"/>
      <c r="E20" s="215"/>
      <c r="F20" s="216"/>
      <c r="G20" s="217" t="s">
        <v>221</v>
      </c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55">
        <f>R21</f>
        <v>1057600</v>
      </c>
      <c r="S20" s="65">
        <f t="shared" si="1"/>
        <v>549000</v>
      </c>
      <c r="T20" s="32">
        <f t="shared" si="1"/>
        <v>181000</v>
      </c>
      <c r="U20" s="32">
        <f t="shared" si="1"/>
        <v>169000</v>
      </c>
      <c r="V20" s="65">
        <f t="shared" si="1"/>
        <v>158600</v>
      </c>
      <c r="W20" s="55">
        <f t="shared" si="1"/>
        <v>1096800</v>
      </c>
      <c r="X20" s="117">
        <f t="shared" si="1"/>
        <v>1123000</v>
      </c>
      <c r="Y20" s="29">
        <f t="shared" si="2"/>
        <v>1057600</v>
      </c>
      <c r="Z20" s="29">
        <f aca="true" t="shared" si="3" ref="Z20:Z106">R20-S20-T20-U20-V20</f>
        <v>0</v>
      </c>
    </row>
    <row r="21" spans="1:26" ht="24" customHeight="1">
      <c r="A21" s="214" t="s">
        <v>417</v>
      </c>
      <c r="B21" s="215"/>
      <c r="C21" s="215"/>
      <c r="D21" s="215"/>
      <c r="E21" s="215"/>
      <c r="F21" s="216"/>
      <c r="G21" s="217" t="s">
        <v>222</v>
      </c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55">
        <f>R22</f>
        <v>1057600</v>
      </c>
      <c r="S21" s="65">
        <f t="shared" si="1"/>
        <v>549000</v>
      </c>
      <c r="T21" s="32">
        <f t="shared" si="1"/>
        <v>181000</v>
      </c>
      <c r="U21" s="32">
        <f t="shared" si="1"/>
        <v>169000</v>
      </c>
      <c r="V21" s="65">
        <f t="shared" si="1"/>
        <v>158600</v>
      </c>
      <c r="W21" s="55">
        <f t="shared" si="1"/>
        <v>1096800</v>
      </c>
      <c r="X21" s="117">
        <f t="shared" si="1"/>
        <v>1123000</v>
      </c>
      <c r="Y21" s="29">
        <f t="shared" si="2"/>
        <v>1057600</v>
      </c>
      <c r="Z21" s="29">
        <f>R21-S21-T21-U21-V21</f>
        <v>0</v>
      </c>
    </row>
    <row r="22" spans="1:26" ht="12.75">
      <c r="A22" s="214" t="s">
        <v>418</v>
      </c>
      <c r="B22" s="215"/>
      <c r="C22" s="215"/>
      <c r="D22" s="215"/>
      <c r="E22" s="215"/>
      <c r="F22" s="216"/>
      <c r="G22" s="217" t="s">
        <v>225</v>
      </c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55">
        <f>R23+R24</f>
        <v>1057600</v>
      </c>
      <c r="S22" s="65">
        <f aca="true" t="shared" si="4" ref="S22:X22">S23+S24</f>
        <v>549000</v>
      </c>
      <c r="T22" s="32">
        <f t="shared" si="4"/>
        <v>181000</v>
      </c>
      <c r="U22" s="32">
        <f t="shared" si="4"/>
        <v>169000</v>
      </c>
      <c r="V22" s="65">
        <f t="shared" si="4"/>
        <v>158600</v>
      </c>
      <c r="W22" s="55">
        <f t="shared" si="4"/>
        <v>1096800</v>
      </c>
      <c r="X22" s="117">
        <f t="shared" si="4"/>
        <v>1123000</v>
      </c>
      <c r="Y22" s="29">
        <f>SUM(S22:V22)</f>
        <v>1057600</v>
      </c>
      <c r="Z22" s="29">
        <f>R22-S22-T22-U22-V22</f>
        <v>0</v>
      </c>
    </row>
    <row r="23" spans="1:26" ht="12.75">
      <c r="A23" s="214" t="s">
        <v>419</v>
      </c>
      <c r="B23" s="215"/>
      <c r="C23" s="215"/>
      <c r="D23" s="215"/>
      <c r="E23" s="215"/>
      <c r="F23" s="216"/>
      <c r="G23" s="217" t="s">
        <v>33</v>
      </c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56">
        <f>SUM(S23:V23)</f>
        <v>846100</v>
      </c>
      <c r="S23" s="102">
        <v>422000</v>
      </c>
      <c r="T23" s="103">
        <v>139000</v>
      </c>
      <c r="U23" s="103">
        <v>139000</v>
      </c>
      <c r="V23" s="102">
        <v>146100</v>
      </c>
      <c r="W23" s="123">
        <v>877400</v>
      </c>
      <c r="X23" s="120">
        <v>898400</v>
      </c>
      <c r="Y23" s="29">
        <f t="shared" si="2"/>
        <v>846100</v>
      </c>
      <c r="Z23" s="29">
        <f t="shared" si="3"/>
        <v>0</v>
      </c>
    </row>
    <row r="24" spans="1:26" ht="12.75">
      <c r="A24" s="214" t="s">
        <v>420</v>
      </c>
      <c r="B24" s="215"/>
      <c r="C24" s="215"/>
      <c r="D24" s="215"/>
      <c r="E24" s="215"/>
      <c r="F24" s="216"/>
      <c r="G24" s="217" t="s">
        <v>34</v>
      </c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56">
        <f>SUM(S24:V24)</f>
        <v>211500</v>
      </c>
      <c r="S24" s="102">
        <v>127000</v>
      </c>
      <c r="T24" s="103">
        <v>42000</v>
      </c>
      <c r="U24" s="103">
        <v>30000</v>
      </c>
      <c r="V24" s="102">
        <v>12500</v>
      </c>
      <c r="W24" s="123">
        <v>219400</v>
      </c>
      <c r="X24" s="120">
        <v>224600</v>
      </c>
      <c r="Y24" s="29">
        <f t="shared" si="2"/>
        <v>211500</v>
      </c>
      <c r="Z24" s="29">
        <f t="shared" si="3"/>
        <v>0</v>
      </c>
    </row>
    <row r="25" spans="1:26" s="4" customFormat="1" ht="35.25" customHeight="1">
      <c r="A25" s="200" t="s">
        <v>114</v>
      </c>
      <c r="B25" s="201"/>
      <c r="C25" s="201"/>
      <c r="D25" s="201"/>
      <c r="E25" s="201"/>
      <c r="F25" s="202"/>
      <c r="G25" s="203" t="s">
        <v>35</v>
      </c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38">
        <f>R27</f>
        <v>7116700</v>
      </c>
      <c r="S25" s="64">
        <f aca="true" t="shared" si="5" ref="S25:X25">S27</f>
        <v>2619073</v>
      </c>
      <c r="T25" s="30">
        <f t="shared" si="5"/>
        <v>1639573</v>
      </c>
      <c r="U25" s="30">
        <f t="shared" si="5"/>
        <v>1737073</v>
      </c>
      <c r="V25" s="64">
        <f t="shared" si="5"/>
        <v>1120981</v>
      </c>
      <c r="W25" s="38">
        <f t="shared" si="5"/>
        <v>7380200</v>
      </c>
      <c r="X25" s="114">
        <f t="shared" si="5"/>
        <v>7557100</v>
      </c>
      <c r="Y25" s="29">
        <f t="shared" si="2"/>
        <v>7116700</v>
      </c>
      <c r="Z25" s="29">
        <f t="shared" si="3"/>
        <v>0</v>
      </c>
    </row>
    <row r="26" spans="1:26" s="49" customFormat="1" ht="24" customHeight="1">
      <c r="A26" s="205" t="s">
        <v>115</v>
      </c>
      <c r="B26" s="206"/>
      <c r="C26" s="206"/>
      <c r="D26" s="206"/>
      <c r="E26" s="206"/>
      <c r="F26" s="47"/>
      <c r="G26" s="207" t="s">
        <v>85</v>
      </c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53">
        <f>R27</f>
        <v>7116700</v>
      </c>
      <c r="S26" s="88">
        <f aca="true" t="shared" si="6" ref="S26:X26">S27</f>
        <v>2619073</v>
      </c>
      <c r="T26" s="51">
        <f t="shared" si="6"/>
        <v>1639573</v>
      </c>
      <c r="U26" s="51">
        <f t="shared" si="6"/>
        <v>1737073</v>
      </c>
      <c r="V26" s="88">
        <f t="shared" si="6"/>
        <v>1120981</v>
      </c>
      <c r="W26" s="53">
        <f t="shared" si="6"/>
        <v>7380200</v>
      </c>
      <c r="X26" s="115">
        <f t="shared" si="6"/>
        <v>7557100</v>
      </c>
      <c r="Y26" s="48"/>
      <c r="Z26" s="29">
        <f t="shared" si="3"/>
        <v>0</v>
      </c>
    </row>
    <row r="27" spans="1:26" s="3" customFormat="1" ht="16.5" customHeight="1">
      <c r="A27" s="209" t="s">
        <v>116</v>
      </c>
      <c r="B27" s="210"/>
      <c r="C27" s="210"/>
      <c r="D27" s="210"/>
      <c r="E27" s="210"/>
      <c r="F27" s="211"/>
      <c r="G27" s="212" t="s">
        <v>36</v>
      </c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54">
        <f>R28+R35+R46</f>
        <v>7116700</v>
      </c>
      <c r="S27" s="90">
        <f aca="true" t="shared" si="7" ref="S27:X27">S28+S35+S46</f>
        <v>2619073</v>
      </c>
      <c r="T27" s="31">
        <f t="shared" si="7"/>
        <v>1639573</v>
      </c>
      <c r="U27" s="31">
        <f t="shared" si="7"/>
        <v>1737073</v>
      </c>
      <c r="V27" s="90">
        <f t="shared" si="7"/>
        <v>1120981</v>
      </c>
      <c r="W27" s="54">
        <f t="shared" si="7"/>
        <v>7380200</v>
      </c>
      <c r="X27" s="116">
        <f t="shared" si="7"/>
        <v>7557100</v>
      </c>
      <c r="Y27" s="29">
        <f>SUM(S27:V27)</f>
        <v>7116700</v>
      </c>
      <c r="Z27" s="29">
        <f t="shared" si="3"/>
        <v>0</v>
      </c>
    </row>
    <row r="28" spans="1:26" ht="48.75" customHeight="1">
      <c r="A28" s="214" t="s">
        <v>226</v>
      </c>
      <c r="B28" s="215"/>
      <c r="C28" s="215"/>
      <c r="D28" s="215"/>
      <c r="E28" s="215"/>
      <c r="F28" s="216"/>
      <c r="G28" s="217" t="s">
        <v>221</v>
      </c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55">
        <f>R29</f>
        <v>6679400</v>
      </c>
      <c r="S28" s="65">
        <f aca="true" t="shared" si="8" ref="S28:X28">S29</f>
        <v>2507500</v>
      </c>
      <c r="T28" s="32">
        <f t="shared" si="8"/>
        <v>1530000</v>
      </c>
      <c r="U28" s="32">
        <f t="shared" si="8"/>
        <v>1630500</v>
      </c>
      <c r="V28" s="65">
        <f t="shared" si="8"/>
        <v>1011400</v>
      </c>
      <c r="W28" s="55">
        <f t="shared" si="8"/>
        <v>6942900</v>
      </c>
      <c r="X28" s="117">
        <f t="shared" si="8"/>
        <v>7119800</v>
      </c>
      <c r="Y28" s="29">
        <f>SUM(S28:V28)</f>
        <v>6679400</v>
      </c>
      <c r="Z28" s="29">
        <f>R28-S28-T28-U28-V28</f>
        <v>0</v>
      </c>
    </row>
    <row r="29" spans="1:26" ht="24" customHeight="1">
      <c r="A29" s="214" t="s">
        <v>421</v>
      </c>
      <c r="B29" s="215"/>
      <c r="C29" s="215"/>
      <c r="D29" s="215"/>
      <c r="E29" s="215"/>
      <c r="F29" s="216"/>
      <c r="G29" s="217" t="s">
        <v>222</v>
      </c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55">
        <f>R30+R33</f>
        <v>6679400</v>
      </c>
      <c r="S29" s="65">
        <f aca="true" t="shared" si="9" ref="S29:X29">S30+S33</f>
        <v>2507500</v>
      </c>
      <c r="T29" s="32">
        <f t="shared" si="9"/>
        <v>1530000</v>
      </c>
      <c r="U29" s="32">
        <f t="shared" si="9"/>
        <v>1630500</v>
      </c>
      <c r="V29" s="65">
        <f t="shared" si="9"/>
        <v>1011400</v>
      </c>
      <c r="W29" s="55">
        <f t="shared" si="9"/>
        <v>6942900</v>
      </c>
      <c r="X29" s="117">
        <f t="shared" si="9"/>
        <v>7119800</v>
      </c>
      <c r="Y29" s="29">
        <f>SUM(S29:V29)</f>
        <v>6679400</v>
      </c>
      <c r="Z29" s="29">
        <f>R29-S29-T29-U29-V29</f>
        <v>0</v>
      </c>
    </row>
    <row r="30" spans="1:26" ht="12.75">
      <c r="A30" s="214" t="s">
        <v>422</v>
      </c>
      <c r="B30" s="215"/>
      <c r="C30" s="215"/>
      <c r="D30" s="215"/>
      <c r="E30" s="215"/>
      <c r="F30" s="216"/>
      <c r="G30" s="217" t="s">
        <v>225</v>
      </c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55">
        <f>R31+R32</f>
        <v>6674400</v>
      </c>
      <c r="S30" s="65">
        <f aca="true" t="shared" si="10" ref="S30:X30">S31+S32</f>
        <v>2505000</v>
      </c>
      <c r="T30" s="32">
        <f t="shared" si="10"/>
        <v>1530000</v>
      </c>
      <c r="U30" s="32">
        <f t="shared" si="10"/>
        <v>1628000</v>
      </c>
      <c r="V30" s="65">
        <f t="shared" si="10"/>
        <v>1011400</v>
      </c>
      <c r="W30" s="55">
        <f t="shared" si="10"/>
        <v>6937900</v>
      </c>
      <c r="X30" s="117">
        <f t="shared" si="10"/>
        <v>7114800</v>
      </c>
      <c r="Y30" s="29">
        <f>SUM(S30:V30)</f>
        <v>6674400</v>
      </c>
      <c r="Z30" s="29">
        <f t="shared" si="3"/>
        <v>0</v>
      </c>
    </row>
    <row r="31" spans="1:26" ht="12.75">
      <c r="A31" s="214" t="s">
        <v>423</v>
      </c>
      <c r="B31" s="215"/>
      <c r="C31" s="215"/>
      <c r="D31" s="215"/>
      <c r="E31" s="215"/>
      <c r="F31" s="216"/>
      <c r="G31" s="217" t="s">
        <v>33</v>
      </c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56">
        <f aca="true" t="shared" si="11" ref="R31:R45">SUM(S31:V31)</f>
        <v>5214400</v>
      </c>
      <c r="S31" s="102">
        <v>1925000</v>
      </c>
      <c r="T31" s="103">
        <v>1175000</v>
      </c>
      <c r="U31" s="103">
        <v>1253000</v>
      </c>
      <c r="V31" s="102">
        <v>861400</v>
      </c>
      <c r="W31" s="123">
        <v>5420200</v>
      </c>
      <c r="X31" s="120">
        <v>5558400</v>
      </c>
      <c r="Y31" s="29">
        <f>SUM(S31:X31)</f>
        <v>16193000</v>
      </c>
      <c r="Z31" s="29">
        <f t="shared" si="3"/>
        <v>0</v>
      </c>
    </row>
    <row r="32" spans="1:26" ht="12.75">
      <c r="A32" s="214" t="s">
        <v>424</v>
      </c>
      <c r="B32" s="215"/>
      <c r="C32" s="215"/>
      <c r="D32" s="215"/>
      <c r="E32" s="215"/>
      <c r="F32" s="216"/>
      <c r="G32" s="217" t="s">
        <v>34</v>
      </c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56">
        <f>SUM(S32:V32)</f>
        <v>1460000</v>
      </c>
      <c r="S32" s="102">
        <f>580000</f>
        <v>580000</v>
      </c>
      <c r="T32" s="103">
        <f>355000</f>
        <v>355000</v>
      </c>
      <c r="U32" s="103">
        <f>375000</f>
        <v>375000</v>
      </c>
      <c r="V32" s="102">
        <f>150000</f>
        <v>150000</v>
      </c>
      <c r="W32" s="123">
        <v>1517700</v>
      </c>
      <c r="X32" s="120">
        <v>1556400</v>
      </c>
      <c r="Y32" s="29">
        <f>SUM(S32:X32)</f>
        <v>4534100</v>
      </c>
      <c r="Z32" s="29">
        <f>R32-S32-T32-U32-V32</f>
        <v>0</v>
      </c>
    </row>
    <row r="33" spans="1:26" ht="12.75">
      <c r="A33" s="214" t="s">
        <v>425</v>
      </c>
      <c r="B33" s="215"/>
      <c r="C33" s="215"/>
      <c r="D33" s="215"/>
      <c r="E33" s="215"/>
      <c r="F33" s="216"/>
      <c r="G33" s="217" t="s">
        <v>229</v>
      </c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55">
        <f>R34</f>
        <v>5000</v>
      </c>
      <c r="S33" s="65">
        <f aca="true" t="shared" si="12" ref="S33:X33">S34</f>
        <v>2500</v>
      </c>
      <c r="T33" s="32">
        <f t="shared" si="12"/>
        <v>0</v>
      </c>
      <c r="U33" s="32">
        <f t="shared" si="12"/>
        <v>2500</v>
      </c>
      <c r="V33" s="65">
        <f t="shared" si="12"/>
        <v>0</v>
      </c>
      <c r="W33" s="55">
        <f t="shared" si="12"/>
        <v>5000</v>
      </c>
      <c r="X33" s="117">
        <f t="shared" si="12"/>
        <v>5000</v>
      </c>
      <c r="Y33" s="29">
        <f>SUM(S33:V33)</f>
        <v>5000</v>
      </c>
      <c r="Z33" s="29">
        <f>R33-S33-T33-U33-V33</f>
        <v>0</v>
      </c>
    </row>
    <row r="34" spans="1:26" ht="12.75">
      <c r="A34" s="214" t="s">
        <v>426</v>
      </c>
      <c r="B34" s="215"/>
      <c r="C34" s="215"/>
      <c r="D34" s="215"/>
      <c r="E34" s="215"/>
      <c r="F34" s="216"/>
      <c r="G34" s="217" t="s">
        <v>37</v>
      </c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56">
        <f t="shared" si="11"/>
        <v>5000</v>
      </c>
      <c r="S34" s="102">
        <f>2500</f>
        <v>2500</v>
      </c>
      <c r="T34" s="103">
        <v>0</v>
      </c>
      <c r="U34" s="103">
        <f>2500</f>
        <v>2500</v>
      </c>
      <c r="V34" s="102">
        <v>0</v>
      </c>
      <c r="W34" s="123">
        <f>R34</f>
        <v>5000</v>
      </c>
      <c r="X34" s="120">
        <f>W34</f>
        <v>5000</v>
      </c>
      <c r="Y34" s="29">
        <f>SUM(S34:X34)</f>
        <v>15000</v>
      </c>
      <c r="Z34" s="29">
        <f t="shared" si="3"/>
        <v>0</v>
      </c>
    </row>
    <row r="35" spans="1:26" ht="12.75">
      <c r="A35" s="214" t="s">
        <v>231</v>
      </c>
      <c r="B35" s="215"/>
      <c r="C35" s="215"/>
      <c r="D35" s="215"/>
      <c r="E35" s="215"/>
      <c r="F35" s="216"/>
      <c r="G35" s="217" t="s">
        <v>246</v>
      </c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55">
        <f>R36</f>
        <v>436000</v>
      </c>
      <c r="S35" s="65">
        <f aca="true" t="shared" si="13" ref="S35:X36">S36</f>
        <v>111250</v>
      </c>
      <c r="T35" s="32">
        <f t="shared" si="13"/>
        <v>109250</v>
      </c>
      <c r="U35" s="32">
        <f t="shared" si="13"/>
        <v>106250</v>
      </c>
      <c r="V35" s="65">
        <f t="shared" si="13"/>
        <v>109250</v>
      </c>
      <c r="W35" s="55">
        <f t="shared" si="13"/>
        <v>436000</v>
      </c>
      <c r="X35" s="117">
        <f t="shared" si="13"/>
        <v>436000</v>
      </c>
      <c r="Y35" s="29">
        <f>SUM(S35:V35)</f>
        <v>436000</v>
      </c>
      <c r="Z35" s="29">
        <f t="shared" si="3"/>
        <v>0</v>
      </c>
    </row>
    <row r="36" spans="1:26" ht="24" customHeight="1">
      <c r="A36" s="214" t="s">
        <v>232</v>
      </c>
      <c r="B36" s="215"/>
      <c r="C36" s="215"/>
      <c r="D36" s="215"/>
      <c r="E36" s="215"/>
      <c r="F36" s="216"/>
      <c r="G36" s="217" t="s">
        <v>200</v>
      </c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55">
        <f>R37</f>
        <v>436000</v>
      </c>
      <c r="S36" s="65">
        <f t="shared" si="13"/>
        <v>111250</v>
      </c>
      <c r="T36" s="32">
        <f t="shared" si="13"/>
        <v>109250</v>
      </c>
      <c r="U36" s="32">
        <f t="shared" si="13"/>
        <v>106250</v>
      </c>
      <c r="V36" s="65">
        <f t="shared" si="13"/>
        <v>109250</v>
      </c>
      <c r="W36" s="55">
        <f t="shared" si="13"/>
        <v>436000</v>
      </c>
      <c r="X36" s="117">
        <f t="shared" si="13"/>
        <v>436000</v>
      </c>
      <c r="Y36" s="29">
        <f>SUM(S36:V36)</f>
        <v>436000</v>
      </c>
      <c r="Z36" s="29">
        <f>R36-S36-T36-U36-V36</f>
        <v>0</v>
      </c>
    </row>
    <row r="37" spans="1:26" ht="24" customHeight="1">
      <c r="A37" s="214" t="s">
        <v>233</v>
      </c>
      <c r="B37" s="215"/>
      <c r="C37" s="215"/>
      <c r="D37" s="215"/>
      <c r="E37" s="215"/>
      <c r="F37" s="216"/>
      <c r="G37" s="217" t="s">
        <v>247</v>
      </c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55">
        <f>SUM(R38:R45)</f>
        <v>436000</v>
      </c>
      <c r="S37" s="65">
        <f aca="true" t="shared" si="14" ref="S37:X37">SUM(S38:S45)</f>
        <v>111250</v>
      </c>
      <c r="T37" s="32">
        <f t="shared" si="14"/>
        <v>109250</v>
      </c>
      <c r="U37" s="32">
        <f t="shared" si="14"/>
        <v>106250</v>
      </c>
      <c r="V37" s="65">
        <f t="shared" si="14"/>
        <v>109250</v>
      </c>
      <c r="W37" s="55">
        <f t="shared" si="14"/>
        <v>436000</v>
      </c>
      <c r="X37" s="117">
        <f t="shared" si="14"/>
        <v>436000</v>
      </c>
      <c r="Y37" s="29">
        <f>SUM(S37:V37)</f>
        <v>436000</v>
      </c>
      <c r="Z37" s="29">
        <f>R37-S37-T37-U37-V37</f>
        <v>0</v>
      </c>
    </row>
    <row r="38" spans="1:26" ht="12.75">
      <c r="A38" s="214" t="s">
        <v>238</v>
      </c>
      <c r="B38" s="215"/>
      <c r="C38" s="215"/>
      <c r="D38" s="215"/>
      <c r="E38" s="215"/>
      <c r="F38" s="216"/>
      <c r="G38" s="217" t="s">
        <v>38</v>
      </c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56">
        <f t="shared" si="11"/>
        <v>73000</v>
      </c>
      <c r="S38" s="102">
        <f>18250</f>
        <v>18250</v>
      </c>
      <c r="T38" s="103">
        <f>18250</f>
        <v>18250</v>
      </c>
      <c r="U38" s="103">
        <f>18250</f>
        <v>18250</v>
      </c>
      <c r="V38" s="102">
        <f>18250</f>
        <v>18250</v>
      </c>
      <c r="W38" s="123">
        <f aca="true" t="shared" si="15" ref="W38:W45">R38</f>
        <v>73000</v>
      </c>
      <c r="X38" s="120">
        <f aca="true" t="shared" si="16" ref="X38:X45">W38</f>
        <v>73000</v>
      </c>
      <c r="Y38" s="29">
        <f>SUM(S38:X38)</f>
        <v>219000</v>
      </c>
      <c r="Z38" s="29">
        <f t="shared" si="3"/>
        <v>0</v>
      </c>
    </row>
    <row r="39" spans="1:26" ht="12.75" hidden="1">
      <c r="A39" s="214" t="s">
        <v>239</v>
      </c>
      <c r="B39" s="215"/>
      <c r="C39" s="215"/>
      <c r="D39" s="215"/>
      <c r="E39" s="215"/>
      <c r="F39" s="216"/>
      <c r="G39" s="217" t="s">
        <v>39</v>
      </c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56">
        <f t="shared" si="11"/>
        <v>0</v>
      </c>
      <c r="S39" s="102">
        <v>0</v>
      </c>
      <c r="T39" s="103">
        <v>0</v>
      </c>
      <c r="U39" s="103">
        <v>0</v>
      </c>
      <c r="V39" s="102">
        <v>0</v>
      </c>
      <c r="W39" s="123">
        <f t="shared" si="15"/>
        <v>0</v>
      </c>
      <c r="X39" s="120">
        <f t="shared" si="16"/>
        <v>0</v>
      </c>
      <c r="Y39" s="29">
        <f>SUM(S39:V39)</f>
        <v>0</v>
      </c>
      <c r="Z39" s="29">
        <f t="shared" si="3"/>
        <v>0</v>
      </c>
    </row>
    <row r="40" spans="1:26" ht="12.75" hidden="1">
      <c r="A40" s="214" t="s">
        <v>240</v>
      </c>
      <c r="B40" s="215"/>
      <c r="C40" s="215"/>
      <c r="D40" s="215"/>
      <c r="E40" s="215"/>
      <c r="F40" s="216"/>
      <c r="G40" s="217" t="s">
        <v>40</v>
      </c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56">
        <f t="shared" si="11"/>
        <v>0</v>
      </c>
      <c r="S40" s="102">
        <v>0</v>
      </c>
      <c r="T40" s="103">
        <v>0</v>
      </c>
      <c r="U40" s="103">
        <v>0</v>
      </c>
      <c r="V40" s="102">
        <v>0</v>
      </c>
      <c r="W40" s="123">
        <f t="shared" si="15"/>
        <v>0</v>
      </c>
      <c r="X40" s="120">
        <f t="shared" si="16"/>
        <v>0</v>
      </c>
      <c r="Y40" s="29">
        <f aca="true" t="shared" si="17" ref="Y40:Y45">SUM(S40:X40)</f>
        <v>0</v>
      </c>
      <c r="Z40" s="29">
        <f t="shared" si="3"/>
        <v>0</v>
      </c>
    </row>
    <row r="41" spans="1:26" ht="12.75" hidden="1">
      <c r="A41" s="214" t="s">
        <v>241</v>
      </c>
      <c r="B41" s="215"/>
      <c r="C41" s="215"/>
      <c r="D41" s="215"/>
      <c r="E41" s="215"/>
      <c r="F41" s="216"/>
      <c r="G41" s="217" t="s">
        <v>41</v>
      </c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56">
        <f t="shared" si="11"/>
        <v>0</v>
      </c>
      <c r="S41" s="102">
        <v>0</v>
      </c>
      <c r="T41" s="103">
        <v>0</v>
      </c>
      <c r="U41" s="103">
        <v>0</v>
      </c>
      <c r="V41" s="102">
        <v>0</v>
      </c>
      <c r="W41" s="123">
        <f t="shared" si="15"/>
        <v>0</v>
      </c>
      <c r="X41" s="120">
        <f t="shared" si="16"/>
        <v>0</v>
      </c>
      <c r="Y41" s="29">
        <f t="shared" si="17"/>
        <v>0</v>
      </c>
      <c r="Z41" s="29">
        <f t="shared" si="3"/>
        <v>0</v>
      </c>
    </row>
    <row r="42" spans="1:26" ht="12.75">
      <c r="A42" s="214" t="s">
        <v>242</v>
      </c>
      <c r="B42" s="215"/>
      <c r="C42" s="215"/>
      <c r="D42" s="215"/>
      <c r="E42" s="215"/>
      <c r="F42" s="216"/>
      <c r="G42" s="217" t="s">
        <v>42</v>
      </c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56">
        <f t="shared" si="11"/>
        <v>63000</v>
      </c>
      <c r="S42" s="102">
        <f>18000</f>
        <v>18000</v>
      </c>
      <c r="T42" s="103">
        <f>16000</f>
        <v>16000</v>
      </c>
      <c r="U42" s="103">
        <f>13000</f>
        <v>13000</v>
      </c>
      <c r="V42" s="102">
        <f>16000</f>
        <v>16000</v>
      </c>
      <c r="W42" s="123">
        <f t="shared" si="15"/>
        <v>63000</v>
      </c>
      <c r="X42" s="120">
        <f t="shared" si="16"/>
        <v>63000</v>
      </c>
      <c r="Y42" s="29">
        <f t="shared" si="17"/>
        <v>189000</v>
      </c>
      <c r="Z42" s="29">
        <f t="shared" si="3"/>
        <v>0</v>
      </c>
    </row>
    <row r="43" spans="1:26" ht="12.75" customHeight="1" hidden="1">
      <c r="A43" s="214" t="s">
        <v>243</v>
      </c>
      <c r="B43" s="215"/>
      <c r="C43" s="215"/>
      <c r="D43" s="215"/>
      <c r="E43" s="215"/>
      <c r="F43" s="216"/>
      <c r="G43" s="217" t="s">
        <v>82</v>
      </c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56">
        <f>SUM(S43:V43)</f>
        <v>0</v>
      </c>
      <c r="S43" s="102">
        <v>0</v>
      </c>
      <c r="T43" s="103">
        <v>0</v>
      </c>
      <c r="U43" s="103">
        <v>0</v>
      </c>
      <c r="V43" s="102">
        <v>0</v>
      </c>
      <c r="W43" s="123">
        <f t="shared" si="15"/>
        <v>0</v>
      </c>
      <c r="X43" s="120">
        <f t="shared" si="16"/>
        <v>0</v>
      </c>
      <c r="Y43" s="29">
        <f t="shared" si="17"/>
        <v>0</v>
      </c>
      <c r="Z43" s="29">
        <f t="shared" si="3"/>
        <v>0</v>
      </c>
    </row>
    <row r="44" spans="1:26" ht="12.75" customHeight="1" hidden="1">
      <c r="A44" s="214" t="s">
        <v>244</v>
      </c>
      <c r="B44" s="215"/>
      <c r="C44" s="215"/>
      <c r="D44" s="215"/>
      <c r="E44" s="215"/>
      <c r="F44" s="216"/>
      <c r="G44" s="217" t="s">
        <v>43</v>
      </c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56">
        <f t="shared" si="11"/>
        <v>0</v>
      </c>
      <c r="S44" s="102">
        <v>0</v>
      </c>
      <c r="T44" s="103">
        <v>0</v>
      </c>
      <c r="U44" s="103">
        <v>0</v>
      </c>
      <c r="V44" s="102">
        <v>0</v>
      </c>
      <c r="W44" s="123">
        <f t="shared" si="15"/>
        <v>0</v>
      </c>
      <c r="X44" s="120">
        <f t="shared" si="16"/>
        <v>0</v>
      </c>
      <c r="Y44" s="29">
        <f t="shared" si="17"/>
        <v>0</v>
      </c>
      <c r="Z44" s="29">
        <f t="shared" si="3"/>
        <v>0</v>
      </c>
    </row>
    <row r="45" spans="1:26" ht="12.75">
      <c r="A45" s="214" t="s">
        <v>245</v>
      </c>
      <c r="B45" s="215"/>
      <c r="C45" s="215"/>
      <c r="D45" s="215"/>
      <c r="E45" s="215"/>
      <c r="F45" s="216"/>
      <c r="G45" s="173" t="s">
        <v>71</v>
      </c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56">
        <f t="shared" si="11"/>
        <v>300000</v>
      </c>
      <c r="S45" s="91">
        <f>75000</f>
        <v>75000</v>
      </c>
      <c r="T45" s="33">
        <f>75000</f>
        <v>75000</v>
      </c>
      <c r="U45" s="33">
        <f>75000</f>
        <v>75000</v>
      </c>
      <c r="V45" s="91">
        <f>75000</f>
        <v>75000</v>
      </c>
      <c r="W45" s="123">
        <f t="shared" si="15"/>
        <v>300000</v>
      </c>
      <c r="X45" s="120">
        <f t="shared" si="16"/>
        <v>300000</v>
      </c>
      <c r="Y45" s="29">
        <f t="shared" si="17"/>
        <v>900000</v>
      </c>
      <c r="Z45" s="29">
        <f t="shared" si="3"/>
        <v>0</v>
      </c>
    </row>
    <row r="46" spans="1:26" ht="12.75" customHeight="1">
      <c r="A46" s="214" t="s">
        <v>234</v>
      </c>
      <c r="B46" s="215"/>
      <c r="C46" s="215"/>
      <c r="D46" s="215"/>
      <c r="E46" s="215"/>
      <c r="F46" s="216"/>
      <c r="G46" s="217" t="s">
        <v>248</v>
      </c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55">
        <f>R47</f>
        <v>1300</v>
      </c>
      <c r="S46" s="65">
        <f aca="true" t="shared" si="18" ref="S46:X48">S47</f>
        <v>323</v>
      </c>
      <c r="T46" s="32">
        <f t="shared" si="18"/>
        <v>323</v>
      </c>
      <c r="U46" s="32">
        <f t="shared" si="18"/>
        <v>323</v>
      </c>
      <c r="V46" s="65">
        <f t="shared" si="18"/>
        <v>331</v>
      </c>
      <c r="W46" s="55">
        <f t="shared" si="18"/>
        <v>1300</v>
      </c>
      <c r="X46" s="117">
        <f t="shared" si="18"/>
        <v>1300</v>
      </c>
      <c r="Y46" s="29">
        <f>SUM(S46:V46)</f>
        <v>1300</v>
      </c>
      <c r="Z46" s="29">
        <f>R46-S46-T46-U46-V46</f>
        <v>0</v>
      </c>
    </row>
    <row r="47" spans="1:26" ht="12.75" customHeight="1">
      <c r="A47" s="214" t="s">
        <v>235</v>
      </c>
      <c r="B47" s="215"/>
      <c r="C47" s="215"/>
      <c r="D47" s="215"/>
      <c r="E47" s="215"/>
      <c r="F47" s="216"/>
      <c r="G47" s="217" t="s">
        <v>249</v>
      </c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55">
        <f>R48</f>
        <v>1300</v>
      </c>
      <c r="S47" s="65">
        <f t="shared" si="18"/>
        <v>323</v>
      </c>
      <c r="T47" s="32">
        <f t="shared" si="18"/>
        <v>323</v>
      </c>
      <c r="U47" s="32">
        <f t="shared" si="18"/>
        <v>323</v>
      </c>
      <c r="V47" s="65">
        <f t="shared" si="18"/>
        <v>331</v>
      </c>
      <c r="W47" s="55">
        <f t="shared" si="18"/>
        <v>1300</v>
      </c>
      <c r="X47" s="117">
        <f t="shared" si="18"/>
        <v>1300</v>
      </c>
      <c r="Y47" s="29">
        <f>SUM(S47:V47)</f>
        <v>1300</v>
      </c>
      <c r="Z47" s="29">
        <f>R47-S47-T47-U47-V47</f>
        <v>0</v>
      </c>
    </row>
    <row r="48" spans="1:26" ht="12.75" customHeight="1">
      <c r="A48" s="214" t="s">
        <v>236</v>
      </c>
      <c r="B48" s="215"/>
      <c r="C48" s="215"/>
      <c r="D48" s="215"/>
      <c r="E48" s="215"/>
      <c r="F48" s="216"/>
      <c r="G48" s="217" t="s">
        <v>250</v>
      </c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55">
        <f>R49</f>
        <v>1300</v>
      </c>
      <c r="S48" s="65">
        <f t="shared" si="18"/>
        <v>323</v>
      </c>
      <c r="T48" s="32">
        <f t="shared" si="18"/>
        <v>323</v>
      </c>
      <c r="U48" s="32">
        <f t="shared" si="18"/>
        <v>323</v>
      </c>
      <c r="V48" s="65">
        <f t="shared" si="18"/>
        <v>331</v>
      </c>
      <c r="W48" s="55">
        <f t="shared" si="18"/>
        <v>1300</v>
      </c>
      <c r="X48" s="117">
        <f t="shared" si="18"/>
        <v>1300</v>
      </c>
      <c r="Y48" s="29">
        <f>SUM(S48:V48)</f>
        <v>1300</v>
      </c>
      <c r="Z48" s="29">
        <f>R48-S48-T48-U48-V48</f>
        <v>0</v>
      </c>
    </row>
    <row r="49" spans="1:26" ht="12.75" customHeight="1">
      <c r="A49" s="214" t="s">
        <v>237</v>
      </c>
      <c r="B49" s="215"/>
      <c r="C49" s="215"/>
      <c r="D49" s="215"/>
      <c r="E49" s="215"/>
      <c r="F49" s="216"/>
      <c r="G49" s="217" t="s">
        <v>46</v>
      </c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56">
        <f>SUM(S49:V49)</f>
        <v>1300</v>
      </c>
      <c r="S49" s="102">
        <f>323</f>
        <v>323</v>
      </c>
      <c r="T49" s="103">
        <f>323</f>
        <v>323</v>
      </c>
      <c r="U49" s="103">
        <f>323</f>
        <v>323</v>
      </c>
      <c r="V49" s="102">
        <f>331</f>
        <v>331</v>
      </c>
      <c r="W49" s="123">
        <f>R49</f>
        <v>1300</v>
      </c>
      <c r="X49" s="120">
        <f>W49</f>
        <v>1300</v>
      </c>
      <c r="Y49" s="29">
        <f>SUM(S49:X49)</f>
        <v>3900</v>
      </c>
      <c r="Z49" s="29">
        <f>R49-S49-T49-U49-V49</f>
        <v>0</v>
      </c>
    </row>
    <row r="50" spans="1:26" s="4" customFormat="1" ht="17.25" customHeight="1" hidden="1">
      <c r="A50" s="226" t="s">
        <v>156</v>
      </c>
      <c r="B50" s="227"/>
      <c r="C50" s="227"/>
      <c r="D50" s="227"/>
      <c r="E50" s="227"/>
      <c r="F50" s="228"/>
      <c r="G50" s="219" t="s">
        <v>75</v>
      </c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38">
        <f>R51</f>
        <v>0</v>
      </c>
      <c r="S50" s="64">
        <f>S51</f>
        <v>0</v>
      </c>
      <c r="T50" s="30">
        <f>T51</f>
        <v>0</v>
      </c>
      <c r="U50" s="30">
        <f>U51</f>
        <v>0</v>
      </c>
      <c r="V50" s="64">
        <f>V51</f>
        <v>0</v>
      </c>
      <c r="W50" s="38"/>
      <c r="X50" s="114"/>
      <c r="Y50" s="29">
        <f aca="true" t="shared" si="19" ref="Y50:Y55">SUM(S50:V50)</f>
        <v>0</v>
      </c>
      <c r="Z50" s="29">
        <f t="shared" si="3"/>
        <v>0</v>
      </c>
    </row>
    <row r="51" spans="1:26" s="3" customFormat="1" ht="16.5" customHeight="1" hidden="1">
      <c r="A51" s="221" t="s">
        <v>157</v>
      </c>
      <c r="B51" s="222"/>
      <c r="C51" s="222"/>
      <c r="D51" s="222"/>
      <c r="E51" s="222"/>
      <c r="F51" s="223"/>
      <c r="G51" s="224" t="s">
        <v>76</v>
      </c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54">
        <f>R52+R54</f>
        <v>0</v>
      </c>
      <c r="S51" s="90">
        <f>S52+S54</f>
        <v>0</v>
      </c>
      <c r="T51" s="31">
        <f>T52+T54</f>
        <v>0</v>
      </c>
      <c r="U51" s="31">
        <f>U52+U54</f>
        <v>0</v>
      </c>
      <c r="V51" s="90">
        <f>V52+V54</f>
        <v>0</v>
      </c>
      <c r="W51" s="54"/>
      <c r="X51" s="116"/>
      <c r="Y51" s="29">
        <f t="shared" si="19"/>
        <v>0</v>
      </c>
      <c r="Z51" s="29">
        <f t="shared" si="3"/>
        <v>0</v>
      </c>
    </row>
    <row r="52" spans="1:26" ht="16.5" customHeight="1" hidden="1">
      <c r="A52" s="229" t="s">
        <v>158</v>
      </c>
      <c r="B52" s="230"/>
      <c r="C52" s="230"/>
      <c r="D52" s="230"/>
      <c r="E52" s="230"/>
      <c r="F52" s="231"/>
      <c r="G52" s="232" t="s">
        <v>32</v>
      </c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55">
        <f>R53</f>
        <v>0</v>
      </c>
      <c r="S52" s="65">
        <f>S53</f>
        <v>0</v>
      </c>
      <c r="T52" s="32">
        <f>T53</f>
        <v>0</v>
      </c>
      <c r="U52" s="32">
        <f>U53</f>
        <v>0</v>
      </c>
      <c r="V52" s="65">
        <f>V53</f>
        <v>0</v>
      </c>
      <c r="W52" s="55"/>
      <c r="X52" s="117"/>
      <c r="Y52" s="29">
        <f t="shared" si="19"/>
        <v>0</v>
      </c>
      <c r="Z52" s="29">
        <f t="shared" si="3"/>
        <v>0</v>
      </c>
    </row>
    <row r="53" spans="1:26" ht="16.5" customHeight="1" hidden="1">
      <c r="A53" s="229" t="s">
        <v>159</v>
      </c>
      <c r="B53" s="230"/>
      <c r="C53" s="230"/>
      <c r="D53" s="230"/>
      <c r="E53" s="230"/>
      <c r="F53" s="231"/>
      <c r="G53" s="234" t="s">
        <v>72</v>
      </c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56">
        <f>SUM(S53:V53)</f>
        <v>0</v>
      </c>
      <c r="S53" s="91"/>
      <c r="T53" s="33"/>
      <c r="U53" s="33"/>
      <c r="V53" s="91"/>
      <c r="W53" s="56"/>
      <c r="X53" s="119"/>
      <c r="Y53" s="29">
        <f t="shared" si="19"/>
        <v>0</v>
      </c>
      <c r="Z53" s="29">
        <f t="shared" si="3"/>
        <v>0</v>
      </c>
    </row>
    <row r="54" spans="1:26" ht="16.5" customHeight="1" hidden="1">
      <c r="A54" s="229" t="s">
        <v>161</v>
      </c>
      <c r="B54" s="230"/>
      <c r="C54" s="230"/>
      <c r="D54" s="230"/>
      <c r="E54" s="230"/>
      <c r="F54" s="231"/>
      <c r="G54" s="232" t="s">
        <v>32</v>
      </c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55">
        <f>R55</f>
        <v>0</v>
      </c>
      <c r="S54" s="65">
        <f>S55</f>
        <v>0</v>
      </c>
      <c r="T54" s="32">
        <f>T55</f>
        <v>0</v>
      </c>
      <c r="U54" s="32">
        <f>U55</f>
        <v>0</v>
      </c>
      <c r="V54" s="65">
        <f>V55</f>
        <v>0</v>
      </c>
      <c r="W54" s="55"/>
      <c r="X54" s="117"/>
      <c r="Y54" s="29">
        <f t="shared" si="19"/>
        <v>0</v>
      </c>
      <c r="Z54" s="29">
        <f t="shared" si="3"/>
        <v>0</v>
      </c>
    </row>
    <row r="55" spans="1:26" ht="16.5" customHeight="1" hidden="1">
      <c r="A55" s="229" t="s">
        <v>160</v>
      </c>
      <c r="B55" s="230"/>
      <c r="C55" s="230"/>
      <c r="D55" s="230"/>
      <c r="E55" s="230"/>
      <c r="F55" s="231"/>
      <c r="G55" s="234" t="s">
        <v>72</v>
      </c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56">
        <f>SUM(S55:V55)</f>
        <v>0</v>
      </c>
      <c r="S55" s="91"/>
      <c r="T55" s="33"/>
      <c r="U55" s="33"/>
      <c r="V55" s="91"/>
      <c r="W55" s="56"/>
      <c r="X55" s="119"/>
      <c r="Y55" s="29">
        <f t="shared" si="19"/>
        <v>0</v>
      </c>
      <c r="Z55" s="29">
        <f t="shared" si="3"/>
        <v>0</v>
      </c>
    </row>
    <row r="56" spans="1:26" s="4" customFormat="1" ht="12.75" customHeight="1">
      <c r="A56" s="200" t="s">
        <v>174</v>
      </c>
      <c r="B56" s="201"/>
      <c r="C56" s="201"/>
      <c r="D56" s="201"/>
      <c r="E56" s="201"/>
      <c r="F56" s="202"/>
      <c r="G56" s="203" t="s">
        <v>44</v>
      </c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38">
        <f>R58</f>
        <v>58300</v>
      </c>
      <c r="S56" s="64">
        <f aca="true" t="shared" si="20" ref="S56:X56">S58</f>
        <v>14575</v>
      </c>
      <c r="T56" s="30">
        <f t="shared" si="20"/>
        <v>14575</v>
      </c>
      <c r="U56" s="30">
        <f t="shared" si="20"/>
        <v>14575</v>
      </c>
      <c r="V56" s="64">
        <f t="shared" si="20"/>
        <v>14575</v>
      </c>
      <c r="W56" s="38">
        <f t="shared" si="20"/>
        <v>0</v>
      </c>
      <c r="X56" s="114">
        <f t="shared" si="20"/>
        <v>0</v>
      </c>
      <c r="Y56" s="29">
        <f>SUM(S56:V56)</f>
        <v>58300</v>
      </c>
      <c r="Z56" s="29">
        <f t="shared" si="3"/>
        <v>0</v>
      </c>
    </row>
    <row r="57" spans="1:26" s="3" customFormat="1" ht="12.75" customHeight="1">
      <c r="A57" s="205" t="s">
        <v>251</v>
      </c>
      <c r="B57" s="206"/>
      <c r="C57" s="206"/>
      <c r="D57" s="206"/>
      <c r="E57" s="206"/>
      <c r="F57" s="236"/>
      <c r="G57" s="207" t="s">
        <v>252</v>
      </c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53">
        <f>R58</f>
        <v>58300</v>
      </c>
      <c r="S57" s="88">
        <f aca="true" t="shared" si="21" ref="S57:X60">S58</f>
        <v>14575</v>
      </c>
      <c r="T57" s="51">
        <f t="shared" si="21"/>
        <v>14575</v>
      </c>
      <c r="U57" s="51">
        <f t="shared" si="21"/>
        <v>14575</v>
      </c>
      <c r="V57" s="88">
        <f t="shared" si="21"/>
        <v>14575</v>
      </c>
      <c r="W57" s="53">
        <f t="shared" si="21"/>
        <v>0</v>
      </c>
      <c r="X57" s="115">
        <f t="shared" si="21"/>
        <v>0</v>
      </c>
      <c r="Y57" s="29">
        <f>SUM(S57:V57)</f>
        <v>58300</v>
      </c>
      <c r="Z57" s="29">
        <f>R57-S57-T57-U57-V57</f>
        <v>0</v>
      </c>
    </row>
    <row r="58" spans="1:26" s="3" customFormat="1" ht="12.75" customHeight="1">
      <c r="A58" s="209" t="s">
        <v>175</v>
      </c>
      <c r="B58" s="210"/>
      <c r="C58" s="210"/>
      <c r="D58" s="210"/>
      <c r="E58" s="210"/>
      <c r="F58" s="211"/>
      <c r="G58" s="212" t="s">
        <v>45</v>
      </c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54">
        <f>R59</f>
        <v>58300</v>
      </c>
      <c r="S58" s="90">
        <f t="shared" si="21"/>
        <v>14575</v>
      </c>
      <c r="T58" s="31">
        <f t="shared" si="21"/>
        <v>14575</v>
      </c>
      <c r="U58" s="31">
        <f t="shared" si="21"/>
        <v>14575</v>
      </c>
      <c r="V58" s="90">
        <f t="shared" si="21"/>
        <v>14575</v>
      </c>
      <c r="W58" s="54">
        <f t="shared" si="21"/>
        <v>0</v>
      </c>
      <c r="X58" s="116">
        <f t="shared" si="21"/>
        <v>0</v>
      </c>
      <c r="Y58" s="29">
        <f>SUM(S58:V58)</f>
        <v>58300</v>
      </c>
      <c r="Z58" s="29">
        <f t="shared" si="3"/>
        <v>0</v>
      </c>
    </row>
    <row r="59" spans="1:26" ht="12.75" customHeight="1">
      <c r="A59" s="214" t="s">
        <v>253</v>
      </c>
      <c r="B59" s="215"/>
      <c r="C59" s="215"/>
      <c r="D59" s="215"/>
      <c r="E59" s="215"/>
      <c r="F59" s="216"/>
      <c r="G59" s="217" t="s">
        <v>248</v>
      </c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55">
        <f>R60</f>
        <v>58300</v>
      </c>
      <c r="S59" s="65">
        <f t="shared" si="21"/>
        <v>14575</v>
      </c>
      <c r="T59" s="32">
        <f t="shared" si="21"/>
        <v>14575</v>
      </c>
      <c r="U59" s="32">
        <f t="shared" si="21"/>
        <v>14575</v>
      </c>
      <c r="V59" s="65">
        <f t="shared" si="21"/>
        <v>14575</v>
      </c>
      <c r="W59" s="55">
        <f t="shared" si="21"/>
        <v>0</v>
      </c>
      <c r="X59" s="117">
        <f t="shared" si="21"/>
        <v>0</v>
      </c>
      <c r="Y59" s="29">
        <f>SUM(S59:V59)</f>
        <v>58300</v>
      </c>
      <c r="Z59" s="29">
        <f>R59-S59-T59-U59-V59</f>
        <v>0</v>
      </c>
    </row>
    <row r="60" spans="1:26" ht="12.75" customHeight="1">
      <c r="A60" s="214" t="s">
        <v>254</v>
      </c>
      <c r="B60" s="215"/>
      <c r="C60" s="215"/>
      <c r="D60" s="215"/>
      <c r="E60" s="215"/>
      <c r="F60" s="216"/>
      <c r="G60" s="217" t="s">
        <v>255</v>
      </c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55">
        <f>R61</f>
        <v>58300</v>
      </c>
      <c r="S60" s="65">
        <f t="shared" si="21"/>
        <v>14575</v>
      </c>
      <c r="T60" s="32">
        <f t="shared" si="21"/>
        <v>14575</v>
      </c>
      <c r="U60" s="32">
        <f t="shared" si="21"/>
        <v>14575</v>
      </c>
      <c r="V60" s="65">
        <f t="shared" si="21"/>
        <v>14575</v>
      </c>
      <c r="W60" s="55">
        <f t="shared" si="21"/>
        <v>0</v>
      </c>
      <c r="X60" s="117">
        <f t="shared" si="21"/>
        <v>0</v>
      </c>
      <c r="Y60" s="29">
        <f>SUM(S60:V60)</f>
        <v>58300</v>
      </c>
      <c r="Z60" s="29">
        <f t="shared" si="3"/>
        <v>0</v>
      </c>
    </row>
    <row r="61" spans="1:26" ht="12.75" customHeight="1">
      <c r="A61" s="214" t="s">
        <v>256</v>
      </c>
      <c r="B61" s="215"/>
      <c r="C61" s="215"/>
      <c r="D61" s="215"/>
      <c r="E61" s="215"/>
      <c r="F61" s="216"/>
      <c r="G61" s="217" t="s">
        <v>72</v>
      </c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56">
        <f>SUM(S61:V61)</f>
        <v>58300</v>
      </c>
      <c r="S61" s="102">
        <f>14575</f>
        <v>14575</v>
      </c>
      <c r="T61" s="103">
        <f>14575</f>
        <v>14575</v>
      </c>
      <c r="U61" s="103">
        <f>14575</f>
        <v>14575</v>
      </c>
      <c r="V61" s="102">
        <f>14575</f>
        <v>14575</v>
      </c>
      <c r="W61" s="123">
        <v>0</v>
      </c>
      <c r="X61" s="120">
        <v>0</v>
      </c>
      <c r="Y61" s="29">
        <f>SUM(S61:X61)</f>
        <v>58300</v>
      </c>
      <c r="Z61" s="29">
        <f t="shared" si="3"/>
        <v>0</v>
      </c>
    </row>
    <row r="62" spans="1:26" s="4" customFormat="1" ht="12.75">
      <c r="A62" s="200" t="s">
        <v>103</v>
      </c>
      <c r="B62" s="201"/>
      <c r="C62" s="201"/>
      <c r="D62" s="201"/>
      <c r="E62" s="201"/>
      <c r="F62" s="202"/>
      <c r="G62" s="203" t="s">
        <v>78</v>
      </c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38">
        <f aca="true" t="shared" si="22" ref="R62:X62">R63+R70+R76+R85</f>
        <v>634500</v>
      </c>
      <c r="S62" s="64">
        <f t="shared" si="22"/>
        <v>134838</v>
      </c>
      <c r="T62" s="30">
        <f t="shared" si="22"/>
        <v>188412</v>
      </c>
      <c r="U62" s="30">
        <f t="shared" si="22"/>
        <v>176413</v>
      </c>
      <c r="V62" s="64">
        <f t="shared" si="22"/>
        <v>134837</v>
      </c>
      <c r="W62" s="38">
        <f t="shared" si="22"/>
        <v>1185200</v>
      </c>
      <c r="X62" s="114">
        <f t="shared" si="22"/>
        <v>1754100</v>
      </c>
      <c r="Y62" s="29">
        <f>SUM(S62:V62)</f>
        <v>634500</v>
      </c>
      <c r="Z62" s="29">
        <f t="shared" si="3"/>
        <v>0</v>
      </c>
    </row>
    <row r="63" spans="1:26" s="49" customFormat="1" ht="18.75" customHeight="1">
      <c r="A63" s="244" t="s">
        <v>104</v>
      </c>
      <c r="B63" s="245"/>
      <c r="C63" s="245"/>
      <c r="D63" s="245"/>
      <c r="E63" s="245"/>
      <c r="F63" s="155"/>
      <c r="G63" s="237" t="s">
        <v>86</v>
      </c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53">
        <f>R64</f>
        <v>20000</v>
      </c>
      <c r="S63" s="53">
        <f aca="true" t="shared" si="23" ref="S63:X66">S64</f>
        <v>5000</v>
      </c>
      <c r="T63" s="53">
        <f t="shared" si="23"/>
        <v>5000</v>
      </c>
      <c r="U63" s="53">
        <f t="shared" si="23"/>
        <v>5000</v>
      </c>
      <c r="V63" s="53">
        <f t="shared" si="23"/>
        <v>5000</v>
      </c>
      <c r="W63" s="53">
        <f t="shared" si="23"/>
        <v>20000</v>
      </c>
      <c r="X63" s="53">
        <f t="shared" si="23"/>
        <v>20000</v>
      </c>
      <c r="Y63" s="48"/>
      <c r="Z63" s="29">
        <f t="shared" si="3"/>
        <v>0</v>
      </c>
    </row>
    <row r="64" spans="1:26" s="3" customFormat="1" ht="16.5" customHeight="1">
      <c r="A64" s="241" t="s">
        <v>105</v>
      </c>
      <c r="B64" s="242"/>
      <c r="C64" s="242"/>
      <c r="D64" s="242"/>
      <c r="E64" s="242"/>
      <c r="F64" s="243"/>
      <c r="G64" s="239" t="s">
        <v>79</v>
      </c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54">
        <f>R65</f>
        <v>20000</v>
      </c>
      <c r="S64" s="54">
        <f t="shared" si="23"/>
        <v>5000</v>
      </c>
      <c r="T64" s="54">
        <f t="shared" si="23"/>
        <v>5000</v>
      </c>
      <c r="U64" s="54">
        <f t="shared" si="23"/>
        <v>5000</v>
      </c>
      <c r="V64" s="54">
        <f t="shared" si="23"/>
        <v>5000</v>
      </c>
      <c r="W64" s="54">
        <f t="shared" si="23"/>
        <v>20000</v>
      </c>
      <c r="X64" s="54">
        <f t="shared" si="23"/>
        <v>20000</v>
      </c>
      <c r="Y64" s="29">
        <f>SUM(S64:V64)</f>
        <v>20000</v>
      </c>
      <c r="Z64" s="29">
        <f t="shared" si="3"/>
        <v>0</v>
      </c>
    </row>
    <row r="65" spans="1:26" ht="12.75">
      <c r="A65" s="170" t="s">
        <v>412</v>
      </c>
      <c r="B65" s="171"/>
      <c r="C65" s="171"/>
      <c r="D65" s="171"/>
      <c r="E65" s="171"/>
      <c r="F65" s="172"/>
      <c r="G65" s="175" t="s">
        <v>246</v>
      </c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55">
        <f>R66</f>
        <v>20000</v>
      </c>
      <c r="S65" s="55">
        <f t="shared" si="23"/>
        <v>5000</v>
      </c>
      <c r="T65" s="55">
        <f t="shared" si="23"/>
        <v>5000</v>
      </c>
      <c r="U65" s="55">
        <f t="shared" si="23"/>
        <v>5000</v>
      </c>
      <c r="V65" s="55">
        <f t="shared" si="23"/>
        <v>5000</v>
      </c>
      <c r="W65" s="55">
        <f t="shared" si="23"/>
        <v>20000</v>
      </c>
      <c r="X65" s="55">
        <f t="shared" si="23"/>
        <v>20000</v>
      </c>
      <c r="Y65" s="29">
        <f>SUM(S65:V65)</f>
        <v>20000</v>
      </c>
      <c r="Z65" s="29">
        <f>R65-S65-T65-U65-V65</f>
        <v>0</v>
      </c>
    </row>
    <row r="66" spans="1:26" ht="24" customHeight="1">
      <c r="A66" s="170" t="s">
        <v>413</v>
      </c>
      <c r="B66" s="171"/>
      <c r="C66" s="171"/>
      <c r="D66" s="171"/>
      <c r="E66" s="171"/>
      <c r="F66" s="172"/>
      <c r="G66" s="175" t="s">
        <v>200</v>
      </c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55">
        <f>R67</f>
        <v>20000</v>
      </c>
      <c r="S66" s="55">
        <f t="shared" si="23"/>
        <v>5000</v>
      </c>
      <c r="T66" s="55">
        <f t="shared" si="23"/>
        <v>5000</v>
      </c>
      <c r="U66" s="55">
        <f t="shared" si="23"/>
        <v>5000</v>
      </c>
      <c r="V66" s="55">
        <f t="shared" si="23"/>
        <v>5000</v>
      </c>
      <c r="W66" s="55">
        <f t="shared" si="23"/>
        <v>20000</v>
      </c>
      <c r="X66" s="55">
        <f t="shared" si="23"/>
        <v>20000</v>
      </c>
      <c r="Y66" s="29">
        <f>SUM(S66:V66)</f>
        <v>20000</v>
      </c>
      <c r="Z66" s="29">
        <f>R66-S66-T66-U66-V66</f>
        <v>0</v>
      </c>
    </row>
    <row r="67" spans="1:26" ht="24" customHeight="1">
      <c r="A67" s="170" t="s">
        <v>414</v>
      </c>
      <c r="B67" s="171"/>
      <c r="C67" s="171"/>
      <c r="D67" s="171"/>
      <c r="E67" s="171"/>
      <c r="F67" s="172"/>
      <c r="G67" s="175" t="s">
        <v>247</v>
      </c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55">
        <f>SUM(R68:R69)</f>
        <v>20000</v>
      </c>
      <c r="S67" s="55">
        <f aca="true" t="shared" si="24" ref="S67:X67">SUM(S68:S69)</f>
        <v>5000</v>
      </c>
      <c r="T67" s="55">
        <f t="shared" si="24"/>
        <v>5000</v>
      </c>
      <c r="U67" s="55">
        <f t="shared" si="24"/>
        <v>5000</v>
      </c>
      <c r="V67" s="55">
        <f t="shared" si="24"/>
        <v>5000</v>
      </c>
      <c r="W67" s="55">
        <f t="shared" si="24"/>
        <v>20000</v>
      </c>
      <c r="X67" s="55">
        <f t="shared" si="24"/>
        <v>20000</v>
      </c>
      <c r="Y67" s="29">
        <f>SUM(S67:V67)</f>
        <v>20000</v>
      </c>
      <c r="Z67" s="29">
        <f>R67-S67-T67-U67-V67</f>
        <v>0</v>
      </c>
    </row>
    <row r="68" spans="1:26" s="126" customFormat="1" ht="16.5" customHeight="1" hidden="1">
      <c r="A68" s="170" t="s">
        <v>415</v>
      </c>
      <c r="B68" s="171"/>
      <c r="C68" s="171"/>
      <c r="D68" s="171"/>
      <c r="E68" s="171"/>
      <c r="F68" s="172"/>
      <c r="G68" s="175" t="s">
        <v>43</v>
      </c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56">
        <f>S68+T68+U68+V68</f>
        <v>0</v>
      </c>
      <c r="S68" s="102">
        <v>0</v>
      </c>
      <c r="T68" s="103">
        <v>0</v>
      </c>
      <c r="U68" s="103">
        <v>0</v>
      </c>
      <c r="V68" s="102">
        <v>0</v>
      </c>
      <c r="W68" s="123">
        <v>0</v>
      </c>
      <c r="X68" s="120">
        <v>0</v>
      </c>
      <c r="Y68" s="125">
        <f>SUM(S68:X68)</f>
        <v>0</v>
      </c>
      <c r="Z68" s="125">
        <f t="shared" si="3"/>
        <v>0</v>
      </c>
    </row>
    <row r="69" spans="1:26" s="126" customFormat="1" ht="16.5" customHeight="1">
      <c r="A69" s="170" t="s">
        <v>416</v>
      </c>
      <c r="B69" s="171"/>
      <c r="C69" s="171"/>
      <c r="D69" s="171"/>
      <c r="E69" s="171"/>
      <c r="F69" s="172"/>
      <c r="G69" s="173" t="s">
        <v>71</v>
      </c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56">
        <f>S69+T69+U69+V69</f>
        <v>20000</v>
      </c>
      <c r="S69" s="102">
        <f>5000</f>
        <v>5000</v>
      </c>
      <c r="T69" s="103">
        <f>5000</f>
        <v>5000</v>
      </c>
      <c r="U69" s="103">
        <f>5000</f>
        <v>5000</v>
      </c>
      <c r="V69" s="102">
        <f>5000</f>
        <v>5000</v>
      </c>
      <c r="W69" s="123">
        <v>20000</v>
      </c>
      <c r="X69" s="120">
        <v>20000</v>
      </c>
      <c r="Y69" s="125">
        <f>SUM(S69:X69)</f>
        <v>60000</v>
      </c>
      <c r="Z69" s="125">
        <f t="shared" si="3"/>
        <v>0</v>
      </c>
    </row>
    <row r="70" spans="1:26" ht="24" customHeight="1">
      <c r="A70" s="205" t="s">
        <v>266</v>
      </c>
      <c r="B70" s="206"/>
      <c r="C70" s="206"/>
      <c r="D70" s="206"/>
      <c r="E70" s="206"/>
      <c r="F70" s="236"/>
      <c r="G70" s="247" t="s">
        <v>270</v>
      </c>
      <c r="H70" s="248"/>
      <c r="I70" s="248"/>
      <c r="J70" s="248"/>
      <c r="K70" s="248"/>
      <c r="L70" s="248"/>
      <c r="M70" s="248"/>
      <c r="N70" s="248"/>
      <c r="O70" s="248"/>
      <c r="P70" s="248"/>
      <c r="Q70" s="124"/>
      <c r="R70" s="53">
        <f>R71</f>
        <v>125200</v>
      </c>
      <c r="S70" s="88">
        <f aca="true" t="shared" si="25" ref="S70:X71">S71</f>
        <v>0</v>
      </c>
      <c r="T70" s="51">
        <f t="shared" si="25"/>
        <v>62600</v>
      </c>
      <c r="U70" s="51">
        <f t="shared" si="25"/>
        <v>62600</v>
      </c>
      <c r="V70" s="88">
        <f t="shared" si="25"/>
        <v>0</v>
      </c>
      <c r="W70" s="53">
        <f t="shared" si="25"/>
        <v>129800</v>
      </c>
      <c r="X70" s="115">
        <f t="shared" si="25"/>
        <v>133000</v>
      </c>
      <c r="Y70" s="94"/>
      <c r="Z70" s="29">
        <f>R70-S70-T70-U70-V70</f>
        <v>0</v>
      </c>
    </row>
    <row r="71" spans="1:26" s="3" customFormat="1" ht="12.75">
      <c r="A71" s="209" t="s">
        <v>269</v>
      </c>
      <c r="B71" s="210"/>
      <c r="C71" s="210"/>
      <c r="D71" s="210"/>
      <c r="E71" s="210"/>
      <c r="F71" s="211"/>
      <c r="G71" s="239" t="s">
        <v>173</v>
      </c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54">
        <f>R72</f>
        <v>125200</v>
      </c>
      <c r="S71" s="90">
        <f t="shared" si="25"/>
        <v>0</v>
      </c>
      <c r="T71" s="31">
        <f t="shared" si="25"/>
        <v>62600</v>
      </c>
      <c r="U71" s="31">
        <f t="shared" si="25"/>
        <v>62600</v>
      </c>
      <c r="V71" s="90">
        <f t="shared" si="25"/>
        <v>0</v>
      </c>
      <c r="W71" s="54">
        <f t="shared" si="25"/>
        <v>129800</v>
      </c>
      <c r="X71" s="116">
        <f t="shared" si="25"/>
        <v>133000</v>
      </c>
      <c r="Y71" s="29">
        <f>SUM(S71:V71)</f>
        <v>125200</v>
      </c>
      <c r="Z71" s="29">
        <f>R71-S71-T71-U71-V71</f>
        <v>0</v>
      </c>
    </row>
    <row r="72" spans="1:26" ht="48.75" customHeight="1">
      <c r="A72" s="214" t="s">
        <v>268</v>
      </c>
      <c r="B72" s="215"/>
      <c r="C72" s="215"/>
      <c r="D72" s="215"/>
      <c r="E72" s="215"/>
      <c r="F72" s="216"/>
      <c r="G72" s="217" t="s">
        <v>221</v>
      </c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55">
        <f>R73</f>
        <v>125200</v>
      </c>
      <c r="S72" s="65">
        <f aca="true" t="shared" si="26" ref="S72:X74">S73</f>
        <v>0</v>
      </c>
      <c r="T72" s="32">
        <f t="shared" si="26"/>
        <v>62600</v>
      </c>
      <c r="U72" s="32">
        <f t="shared" si="26"/>
        <v>62600</v>
      </c>
      <c r="V72" s="65">
        <f t="shared" si="26"/>
        <v>0</v>
      </c>
      <c r="W72" s="55">
        <f t="shared" si="26"/>
        <v>129800</v>
      </c>
      <c r="X72" s="117">
        <f t="shared" si="26"/>
        <v>133000</v>
      </c>
      <c r="Y72" s="29">
        <f>SUM(S72:V72)</f>
        <v>125200</v>
      </c>
      <c r="Z72" s="29">
        <f>R72-S72-T72-U72-V72</f>
        <v>0</v>
      </c>
    </row>
    <row r="73" spans="1:26" ht="23.25" customHeight="1">
      <c r="A73" s="214" t="s">
        <v>427</v>
      </c>
      <c r="B73" s="215"/>
      <c r="C73" s="215"/>
      <c r="D73" s="215"/>
      <c r="E73" s="215"/>
      <c r="F73" s="216"/>
      <c r="G73" s="217" t="s">
        <v>222</v>
      </c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55">
        <f>R74</f>
        <v>125200</v>
      </c>
      <c r="S73" s="65">
        <f t="shared" si="26"/>
        <v>0</v>
      </c>
      <c r="T73" s="32">
        <f t="shared" si="26"/>
        <v>62600</v>
      </c>
      <c r="U73" s="32">
        <f t="shared" si="26"/>
        <v>62600</v>
      </c>
      <c r="V73" s="65">
        <f t="shared" si="26"/>
        <v>0</v>
      </c>
      <c r="W73" s="55">
        <f t="shared" si="26"/>
        <v>129800</v>
      </c>
      <c r="X73" s="117">
        <f t="shared" si="26"/>
        <v>133000</v>
      </c>
      <c r="Y73" s="94"/>
      <c r="Z73" s="29">
        <f t="shared" si="3"/>
        <v>0</v>
      </c>
    </row>
    <row r="74" spans="1:26" ht="12.75">
      <c r="A74" s="214" t="s">
        <v>428</v>
      </c>
      <c r="B74" s="215"/>
      <c r="C74" s="215"/>
      <c r="D74" s="215"/>
      <c r="E74" s="215"/>
      <c r="F74" s="216"/>
      <c r="G74" s="217" t="s">
        <v>229</v>
      </c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55">
        <f>R75</f>
        <v>125200</v>
      </c>
      <c r="S74" s="65">
        <f t="shared" si="26"/>
        <v>0</v>
      </c>
      <c r="T74" s="32">
        <f t="shared" si="26"/>
        <v>62600</v>
      </c>
      <c r="U74" s="32">
        <f t="shared" si="26"/>
        <v>62600</v>
      </c>
      <c r="V74" s="65">
        <f t="shared" si="26"/>
        <v>0</v>
      </c>
      <c r="W74" s="55">
        <f t="shared" si="26"/>
        <v>129800</v>
      </c>
      <c r="X74" s="117">
        <f t="shared" si="26"/>
        <v>133000</v>
      </c>
      <c r="Y74" s="29">
        <f>SUM(S74:V74)</f>
        <v>125200</v>
      </c>
      <c r="Z74" s="29">
        <f t="shared" si="3"/>
        <v>0</v>
      </c>
    </row>
    <row r="75" spans="1:26" ht="12.75">
      <c r="A75" s="214" t="s">
        <v>429</v>
      </c>
      <c r="B75" s="215"/>
      <c r="C75" s="215"/>
      <c r="D75" s="215"/>
      <c r="E75" s="215"/>
      <c r="F75" s="216"/>
      <c r="G75" s="217" t="s">
        <v>37</v>
      </c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56">
        <f>S75+T75+U75+V75</f>
        <v>125200</v>
      </c>
      <c r="S75" s="102">
        <v>0</v>
      </c>
      <c r="T75" s="103">
        <f>62600</f>
        <v>62600</v>
      </c>
      <c r="U75" s="103">
        <f>62600</f>
        <v>62600</v>
      </c>
      <c r="V75" s="102">
        <v>0</v>
      </c>
      <c r="W75" s="123">
        <v>129800</v>
      </c>
      <c r="X75" s="120">
        <v>133000</v>
      </c>
      <c r="Y75" s="29"/>
      <c r="Z75" s="29">
        <f t="shared" si="3"/>
        <v>0</v>
      </c>
    </row>
    <row r="76" spans="1:26" s="49" customFormat="1" ht="12.75">
      <c r="A76" s="205" t="s">
        <v>107</v>
      </c>
      <c r="B76" s="206"/>
      <c r="C76" s="206"/>
      <c r="D76" s="206"/>
      <c r="E76" s="206"/>
      <c r="F76" s="47"/>
      <c r="G76" s="207" t="s">
        <v>109</v>
      </c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53">
        <f>R77</f>
        <v>489300</v>
      </c>
      <c r="S76" s="88">
        <f aca="true" t="shared" si="27" ref="S76:X79">S77</f>
        <v>129838</v>
      </c>
      <c r="T76" s="51">
        <f t="shared" si="27"/>
        <v>120812</v>
      </c>
      <c r="U76" s="51">
        <f t="shared" si="27"/>
        <v>108813</v>
      </c>
      <c r="V76" s="88">
        <f t="shared" si="27"/>
        <v>129837</v>
      </c>
      <c r="W76" s="53">
        <f t="shared" si="27"/>
        <v>507400</v>
      </c>
      <c r="X76" s="115">
        <f t="shared" si="27"/>
        <v>519600</v>
      </c>
      <c r="Y76" s="48"/>
      <c r="Z76" s="29">
        <f t="shared" si="3"/>
        <v>0</v>
      </c>
    </row>
    <row r="77" spans="1:26" s="3" customFormat="1" ht="12.75">
      <c r="A77" s="209" t="s">
        <v>108</v>
      </c>
      <c r="B77" s="210"/>
      <c r="C77" s="210"/>
      <c r="D77" s="210"/>
      <c r="E77" s="210"/>
      <c r="F77" s="211"/>
      <c r="G77" s="212" t="s">
        <v>57</v>
      </c>
      <c r="H77" s="213"/>
      <c r="I77" s="213"/>
      <c r="J77" s="213"/>
      <c r="K77" s="213"/>
      <c r="L77" s="213"/>
      <c r="M77" s="213"/>
      <c r="N77" s="213"/>
      <c r="O77" s="213"/>
      <c r="P77" s="213"/>
      <c r="Q77" s="213"/>
      <c r="R77" s="54">
        <f>R78</f>
        <v>489300</v>
      </c>
      <c r="S77" s="90">
        <f t="shared" si="27"/>
        <v>129838</v>
      </c>
      <c r="T77" s="31">
        <f t="shared" si="27"/>
        <v>120812</v>
      </c>
      <c r="U77" s="31">
        <f t="shared" si="27"/>
        <v>108813</v>
      </c>
      <c r="V77" s="90">
        <f t="shared" si="27"/>
        <v>129837</v>
      </c>
      <c r="W77" s="54">
        <f t="shared" si="27"/>
        <v>507400</v>
      </c>
      <c r="X77" s="116">
        <f t="shared" si="27"/>
        <v>519600</v>
      </c>
      <c r="Y77" s="29">
        <f>SUM(S77:V77)</f>
        <v>489300</v>
      </c>
      <c r="Z77" s="29">
        <f t="shared" si="3"/>
        <v>0</v>
      </c>
    </row>
    <row r="78" spans="1:26" ht="12.75">
      <c r="A78" s="214" t="s">
        <v>271</v>
      </c>
      <c r="B78" s="215"/>
      <c r="C78" s="215"/>
      <c r="D78" s="215"/>
      <c r="E78" s="215"/>
      <c r="F78" s="216"/>
      <c r="G78" s="217" t="s">
        <v>246</v>
      </c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55">
        <f>R79</f>
        <v>489300</v>
      </c>
      <c r="S78" s="65">
        <f t="shared" si="27"/>
        <v>129838</v>
      </c>
      <c r="T78" s="32">
        <f t="shared" si="27"/>
        <v>120812</v>
      </c>
      <c r="U78" s="32">
        <f t="shared" si="27"/>
        <v>108813</v>
      </c>
      <c r="V78" s="65">
        <f t="shared" si="27"/>
        <v>129837</v>
      </c>
      <c r="W78" s="55">
        <f t="shared" si="27"/>
        <v>507400</v>
      </c>
      <c r="X78" s="117">
        <f t="shared" si="27"/>
        <v>519600</v>
      </c>
      <c r="Y78" s="29">
        <f>SUM(S78:V78)</f>
        <v>489300</v>
      </c>
      <c r="Z78" s="29">
        <f>R78-S78-T78-U78-V78</f>
        <v>0</v>
      </c>
    </row>
    <row r="79" spans="1:26" ht="24" customHeight="1">
      <c r="A79" s="214" t="s">
        <v>272</v>
      </c>
      <c r="B79" s="215"/>
      <c r="C79" s="215"/>
      <c r="D79" s="215"/>
      <c r="E79" s="215"/>
      <c r="F79" s="216"/>
      <c r="G79" s="217" t="s">
        <v>200</v>
      </c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55">
        <f>R80</f>
        <v>489300</v>
      </c>
      <c r="S79" s="65">
        <f t="shared" si="27"/>
        <v>129838</v>
      </c>
      <c r="T79" s="32">
        <f t="shared" si="27"/>
        <v>120812</v>
      </c>
      <c r="U79" s="32">
        <f t="shared" si="27"/>
        <v>108813</v>
      </c>
      <c r="V79" s="65">
        <f t="shared" si="27"/>
        <v>129837</v>
      </c>
      <c r="W79" s="55">
        <f t="shared" si="27"/>
        <v>507400</v>
      </c>
      <c r="X79" s="117">
        <f t="shared" si="27"/>
        <v>519600</v>
      </c>
      <c r="Y79" s="29">
        <f>SUM(S79:V79)</f>
        <v>489300</v>
      </c>
      <c r="Z79" s="29">
        <f>R79-S79-T79-U79-V79</f>
        <v>0</v>
      </c>
    </row>
    <row r="80" spans="1:26" ht="24" customHeight="1">
      <c r="A80" s="214" t="s">
        <v>273</v>
      </c>
      <c r="B80" s="215"/>
      <c r="C80" s="215"/>
      <c r="D80" s="215"/>
      <c r="E80" s="215"/>
      <c r="F80" s="216"/>
      <c r="G80" s="217" t="s">
        <v>247</v>
      </c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55">
        <f>SUM(R81:R84)</f>
        <v>489300</v>
      </c>
      <c r="S80" s="65">
        <f aca="true" t="shared" si="28" ref="S80:X80">SUM(S81:S84)</f>
        <v>129838</v>
      </c>
      <c r="T80" s="32">
        <f t="shared" si="28"/>
        <v>120812</v>
      </c>
      <c r="U80" s="32">
        <f t="shared" si="28"/>
        <v>108813</v>
      </c>
      <c r="V80" s="65">
        <f t="shared" si="28"/>
        <v>129837</v>
      </c>
      <c r="W80" s="55">
        <f t="shared" si="28"/>
        <v>507400</v>
      </c>
      <c r="X80" s="117">
        <f t="shared" si="28"/>
        <v>519600</v>
      </c>
      <c r="Y80" s="29">
        <f>SUM(S80:V80)</f>
        <v>489300</v>
      </c>
      <c r="Z80" s="29">
        <f>R80-S80-T80-U80-V80</f>
        <v>0</v>
      </c>
    </row>
    <row r="81" spans="1:26" ht="12.75">
      <c r="A81" s="214" t="s">
        <v>274</v>
      </c>
      <c r="B81" s="215"/>
      <c r="C81" s="215"/>
      <c r="D81" s="215"/>
      <c r="E81" s="215"/>
      <c r="F81" s="216"/>
      <c r="G81" s="217" t="s">
        <v>40</v>
      </c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56">
        <f>SUM(S81:V81)</f>
        <v>140000</v>
      </c>
      <c r="S81" s="102">
        <f>42500</f>
        <v>42500</v>
      </c>
      <c r="T81" s="103">
        <f>33500</f>
        <v>33500</v>
      </c>
      <c r="U81" s="103">
        <f>21500</f>
        <v>21500</v>
      </c>
      <c r="V81" s="102">
        <f>42500</f>
        <v>42500</v>
      </c>
      <c r="W81" s="123">
        <v>140000</v>
      </c>
      <c r="X81" s="120">
        <v>140000</v>
      </c>
      <c r="Y81" s="29">
        <f>SUM(S81:X81)</f>
        <v>420000</v>
      </c>
      <c r="Z81" s="29">
        <f t="shared" si="3"/>
        <v>0</v>
      </c>
    </row>
    <row r="82" spans="1:26" ht="12.75">
      <c r="A82" s="214" t="s">
        <v>275</v>
      </c>
      <c r="B82" s="215"/>
      <c r="C82" s="215"/>
      <c r="D82" s="215"/>
      <c r="E82" s="215"/>
      <c r="F82" s="216"/>
      <c r="G82" s="217" t="s">
        <v>41</v>
      </c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56">
        <f>SUM(S82:V82)</f>
        <v>100000</v>
      </c>
      <c r="S82" s="102">
        <f>25013</f>
        <v>25013</v>
      </c>
      <c r="T82" s="103">
        <f>24987</f>
        <v>24987</v>
      </c>
      <c r="U82" s="103">
        <f>24988</f>
        <v>24988</v>
      </c>
      <c r="V82" s="102">
        <f>25012</f>
        <v>25012</v>
      </c>
      <c r="W82" s="123">
        <v>100000</v>
      </c>
      <c r="X82" s="120">
        <v>100000</v>
      </c>
      <c r="Y82" s="29">
        <f>SUM(S82:X82)</f>
        <v>300000</v>
      </c>
      <c r="Z82" s="29">
        <f t="shared" si="3"/>
        <v>0</v>
      </c>
    </row>
    <row r="83" spans="1:26" ht="12.75">
      <c r="A83" s="214" t="s">
        <v>276</v>
      </c>
      <c r="B83" s="215"/>
      <c r="C83" s="215"/>
      <c r="D83" s="215"/>
      <c r="E83" s="215"/>
      <c r="F83" s="216"/>
      <c r="G83" s="217" t="s">
        <v>42</v>
      </c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56">
        <f>SUM(S83:V83)</f>
        <v>239300</v>
      </c>
      <c r="S83" s="102">
        <f>59825</f>
        <v>59825</v>
      </c>
      <c r="T83" s="103">
        <f>59825</f>
        <v>59825</v>
      </c>
      <c r="U83" s="103">
        <f>59825</f>
        <v>59825</v>
      </c>
      <c r="V83" s="102">
        <f>59825</f>
        <v>59825</v>
      </c>
      <c r="W83" s="123">
        <v>257400</v>
      </c>
      <c r="X83" s="120">
        <v>269600</v>
      </c>
      <c r="Y83" s="29">
        <f>SUM(S83:X83)</f>
        <v>766300</v>
      </c>
      <c r="Z83" s="29">
        <f t="shared" si="3"/>
        <v>0</v>
      </c>
    </row>
    <row r="84" spans="1:26" ht="12.75">
      <c r="A84" s="214" t="s">
        <v>277</v>
      </c>
      <c r="B84" s="215"/>
      <c r="C84" s="215"/>
      <c r="D84" s="215"/>
      <c r="E84" s="215"/>
      <c r="F84" s="216"/>
      <c r="G84" s="173" t="s">
        <v>71</v>
      </c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56">
        <f>SUM(S84:V84)</f>
        <v>10000</v>
      </c>
      <c r="S84" s="102">
        <f>2500</f>
        <v>2500</v>
      </c>
      <c r="T84" s="103">
        <f>2500</f>
        <v>2500</v>
      </c>
      <c r="U84" s="103">
        <f>2500</f>
        <v>2500</v>
      </c>
      <c r="V84" s="102">
        <f>2500</f>
        <v>2500</v>
      </c>
      <c r="W84" s="123">
        <f>R84</f>
        <v>10000</v>
      </c>
      <c r="X84" s="120">
        <f>W84</f>
        <v>10000</v>
      </c>
      <c r="Y84" s="29">
        <f>SUM(S84:X84)</f>
        <v>30000</v>
      </c>
      <c r="Z84" s="29">
        <f t="shared" si="3"/>
        <v>0</v>
      </c>
    </row>
    <row r="85" spans="1:26" s="49" customFormat="1" ht="12.75">
      <c r="A85" s="205" t="s">
        <v>106</v>
      </c>
      <c r="B85" s="206"/>
      <c r="C85" s="206"/>
      <c r="D85" s="206"/>
      <c r="E85" s="206"/>
      <c r="F85" s="47"/>
      <c r="G85" s="207" t="s">
        <v>87</v>
      </c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53">
        <f>R86</f>
        <v>0</v>
      </c>
      <c r="S85" s="88">
        <f aca="true" t="shared" si="29" ref="S85:V86">S86</f>
        <v>0</v>
      </c>
      <c r="T85" s="51">
        <f t="shared" si="29"/>
        <v>0</v>
      </c>
      <c r="U85" s="51">
        <f t="shared" si="29"/>
        <v>0</v>
      </c>
      <c r="V85" s="88">
        <f t="shared" si="29"/>
        <v>0</v>
      </c>
      <c r="W85" s="53">
        <f>W86</f>
        <v>528000</v>
      </c>
      <c r="X85" s="115">
        <f>X86</f>
        <v>1081500</v>
      </c>
      <c r="Y85" s="48"/>
      <c r="Z85" s="29">
        <f t="shared" si="3"/>
        <v>0</v>
      </c>
    </row>
    <row r="86" spans="1:26" ht="12.75">
      <c r="A86" s="214" t="s">
        <v>278</v>
      </c>
      <c r="B86" s="215"/>
      <c r="C86" s="215"/>
      <c r="D86" s="215"/>
      <c r="E86" s="215"/>
      <c r="F86" s="43"/>
      <c r="G86" s="217" t="s">
        <v>248</v>
      </c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55">
        <f>R87</f>
        <v>0</v>
      </c>
      <c r="S86" s="65">
        <f t="shared" si="29"/>
        <v>0</v>
      </c>
      <c r="T86" s="32">
        <f t="shared" si="29"/>
        <v>0</v>
      </c>
      <c r="U86" s="32">
        <f t="shared" si="29"/>
        <v>0</v>
      </c>
      <c r="V86" s="65">
        <f t="shared" si="29"/>
        <v>0</v>
      </c>
      <c r="W86" s="55">
        <f>W87</f>
        <v>528000</v>
      </c>
      <c r="X86" s="117">
        <f>X87</f>
        <v>1081500</v>
      </c>
      <c r="Y86" s="29"/>
      <c r="Z86" s="29">
        <f t="shared" si="3"/>
        <v>0</v>
      </c>
    </row>
    <row r="87" spans="1:26" ht="12.75">
      <c r="A87" s="214" t="s">
        <v>279</v>
      </c>
      <c r="B87" s="215"/>
      <c r="C87" s="215"/>
      <c r="D87" s="215"/>
      <c r="E87" s="215"/>
      <c r="F87" s="43"/>
      <c r="G87" s="217" t="s">
        <v>255</v>
      </c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56">
        <f>SUM(S87:V87)</f>
        <v>0</v>
      </c>
      <c r="S87" s="102">
        <v>0</v>
      </c>
      <c r="T87" s="103">
        <v>0</v>
      </c>
      <c r="U87" s="103">
        <v>0</v>
      </c>
      <c r="V87" s="102">
        <v>0</v>
      </c>
      <c r="W87" s="123">
        <v>528000</v>
      </c>
      <c r="X87" s="120">
        <v>1081500</v>
      </c>
      <c r="Y87" s="29"/>
      <c r="Z87" s="29">
        <f t="shared" si="3"/>
        <v>0</v>
      </c>
    </row>
    <row r="88" spans="1:26" s="4" customFormat="1" ht="16.5" customHeight="1">
      <c r="A88" s="200" t="s">
        <v>117</v>
      </c>
      <c r="B88" s="201"/>
      <c r="C88" s="201"/>
      <c r="D88" s="201"/>
      <c r="E88" s="201"/>
      <c r="F88" s="202"/>
      <c r="G88" s="203" t="s">
        <v>47</v>
      </c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38">
        <f>R89</f>
        <v>399000</v>
      </c>
      <c r="S88" s="64">
        <f aca="true" t="shared" si="30" ref="S88:X89">S89</f>
        <v>111800</v>
      </c>
      <c r="T88" s="30">
        <f t="shared" si="30"/>
        <v>90850</v>
      </c>
      <c r="U88" s="30">
        <f t="shared" si="30"/>
        <v>105500</v>
      </c>
      <c r="V88" s="64">
        <f t="shared" si="30"/>
        <v>90850</v>
      </c>
      <c r="W88" s="38">
        <f t="shared" si="30"/>
        <v>415500</v>
      </c>
      <c r="X88" s="114">
        <f t="shared" si="30"/>
        <v>430400</v>
      </c>
      <c r="Y88" s="29">
        <f>SUM(S88:V88)</f>
        <v>399000</v>
      </c>
      <c r="Z88" s="29">
        <f t="shared" si="3"/>
        <v>0</v>
      </c>
    </row>
    <row r="89" spans="1:26" s="49" customFormat="1" ht="16.5" customHeight="1">
      <c r="A89" s="205" t="s">
        <v>118</v>
      </c>
      <c r="B89" s="206"/>
      <c r="C89" s="206"/>
      <c r="D89" s="206"/>
      <c r="E89" s="206"/>
      <c r="F89" s="47"/>
      <c r="G89" s="207" t="s">
        <v>86</v>
      </c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53">
        <f>R90</f>
        <v>399000</v>
      </c>
      <c r="S89" s="88">
        <f t="shared" si="30"/>
        <v>111800</v>
      </c>
      <c r="T89" s="51">
        <f t="shared" si="30"/>
        <v>90850</v>
      </c>
      <c r="U89" s="51">
        <f t="shared" si="30"/>
        <v>105500</v>
      </c>
      <c r="V89" s="88">
        <f t="shared" si="30"/>
        <v>90850</v>
      </c>
      <c r="W89" s="53">
        <f t="shared" si="30"/>
        <v>415500</v>
      </c>
      <c r="X89" s="115">
        <f t="shared" si="30"/>
        <v>430400</v>
      </c>
      <c r="Y89" s="48"/>
      <c r="Z89" s="29">
        <f t="shared" si="3"/>
        <v>0</v>
      </c>
    </row>
    <row r="90" spans="1:26" s="3" customFormat="1" ht="26.25" customHeight="1">
      <c r="A90" s="209" t="s">
        <v>119</v>
      </c>
      <c r="B90" s="210"/>
      <c r="C90" s="210"/>
      <c r="D90" s="210"/>
      <c r="E90" s="210"/>
      <c r="F90" s="211"/>
      <c r="G90" s="212" t="s">
        <v>48</v>
      </c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54">
        <f>R91+R98+R108</f>
        <v>399000</v>
      </c>
      <c r="S90" s="90">
        <f aca="true" t="shared" si="31" ref="S90:X90">S91+S98+S108</f>
        <v>111800</v>
      </c>
      <c r="T90" s="31">
        <f t="shared" si="31"/>
        <v>90850</v>
      </c>
      <c r="U90" s="31">
        <f t="shared" si="31"/>
        <v>105500</v>
      </c>
      <c r="V90" s="90">
        <f t="shared" si="31"/>
        <v>90850</v>
      </c>
      <c r="W90" s="54">
        <f t="shared" si="31"/>
        <v>415500</v>
      </c>
      <c r="X90" s="116">
        <f t="shared" si="31"/>
        <v>430400</v>
      </c>
      <c r="Y90" s="29">
        <f>SUM(S90:V90)</f>
        <v>399000</v>
      </c>
      <c r="Z90" s="29">
        <f t="shared" si="3"/>
        <v>0</v>
      </c>
    </row>
    <row r="91" spans="1:26" ht="48.75" customHeight="1">
      <c r="A91" s="214" t="s">
        <v>280</v>
      </c>
      <c r="B91" s="215"/>
      <c r="C91" s="215"/>
      <c r="D91" s="215"/>
      <c r="E91" s="215"/>
      <c r="F91" s="216"/>
      <c r="G91" s="217" t="s">
        <v>221</v>
      </c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55">
        <f>R92</f>
        <v>368000</v>
      </c>
      <c r="S91" s="65">
        <f aca="true" t="shared" si="32" ref="S91:X91">S92</f>
        <v>107300</v>
      </c>
      <c r="T91" s="32">
        <f t="shared" si="32"/>
        <v>84000</v>
      </c>
      <c r="U91" s="32">
        <f t="shared" si="32"/>
        <v>102500</v>
      </c>
      <c r="V91" s="65">
        <f t="shared" si="32"/>
        <v>74200</v>
      </c>
      <c r="W91" s="55">
        <f t="shared" si="32"/>
        <v>382500</v>
      </c>
      <c r="X91" s="117">
        <f t="shared" si="32"/>
        <v>397400</v>
      </c>
      <c r="Y91" s="29">
        <f>SUM(S91:V91)</f>
        <v>368000</v>
      </c>
      <c r="Z91" s="29">
        <f>R91-S91-T91-U91-V91</f>
        <v>0</v>
      </c>
    </row>
    <row r="92" spans="1:26" ht="24" customHeight="1">
      <c r="A92" s="214" t="s">
        <v>430</v>
      </c>
      <c r="B92" s="215"/>
      <c r="C92" s="215"/>
      <c r="D92" s="215"/>
      <c r="E92" s="215"/>
      <c r="F92" s="216"/>
      <c r="G92" s="217" t="s">
        <v>222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55">
        <f>R93+R96</f>
        <v>368000</v>
      </c>
      <c r="S92" s="65">
        <f aca="true" t="shared" si="33" ref="S92:X92">S93+S96</f>
        <v>107300</v>
      </c>
      <c r="T92" s="32">
        <f t="shared" si="33"/>
        <v>84000</v>
      </c>
      <c r="U92" s="32">
        <f t="shared" si="33"/>
        <v>102500</v>
      </c>
      <c r="V92" s="65">
        <f t="shared" si="33"/>
        <v>74200</v>
      </c>
      <c r="W92" s="131">
        <f t="shared" si="33"/>
        <v>382500</v>
      </c>
      <c r="X92" s="130">
        <f t="shared" si="33"/>
        <v>397400</v>
      </c>
      <c r="Y92" s="29">
        <f>SUM(S92:V92)</f>
        <v>368000</v>
      </c>
      <c r="Z92" s="29">
        <f>R92-S92-T92-U92-V92</f>
        <v>0</v>
      </c>
    </row>
    <row r="93" spans="1:26" ht="12.75">
      <c r="A93" s="214" t="s">
        <v>431</v>
      </c>
      <c r="B93" s="215"/>
      <c r="C93" s="215"/>
      <c r="D93" s="215"/>
      <c r="E93" s="215"/>
      <c r="F93" s="216"/>
      <c r="G93" s="217" t="s">
        <v>225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55">
        <f>R94+R95</f>
        <v>356000</v>
      </c>
      <c r="S93" s="65">
        <f aca="true" t="shared" si="34" ref="S93:X93">S94+S95</f>
        <v>107300</v>
      </c>
      <c r="T93" s="32">
        <f t="shared" si="34"/>
        <v>72000</v>
      </c>
      <c r="U93" s="32">
        <f t="shared" si="34"/>
        <v>102500</v>
      </c>
      <c r="V93" s="65">
        <f t="shared" si="34"/>
        <v>74200</v>
      </c>
      <c r="W93" s="131">
        <f t="shared" si="34"/>
        <v>382500</v>
      </c>
      <c r="X93" s="130">
        <f t="shared" si="34"/>
        <v>382400</v>
      </c>
      <c r="Y93" s="29">
        <f>SUM(S93:V93)</f>
        <v>356000</v>
      </c>
      <c r="Z93" s="29">
        <f>R93-S93-T93-U93-V93</f>
        <v>0</v>
      </c>
    </row>
    <row r="94" spans="1:26" ht="12.75">
      <c r="A94" s="214" t="s">
        <v>432</v>
      </c>
      <c r="B94" s="215"/>
      <c r="C94" s="215"/>
      <c r="D94" s="215"/>
      <c r="E94" s="215"/>
      <c r="F94" s="216"/>
      <c r="G94" s="217" t="s">
        <v>33</v>
      </c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56">
        <f>SUM(S94:V94)</f>
        <v>278100</v>
      </c>
      <c r="S94" s="102">
        <f>82400</f>
        <v>82400</v>
      </c>
      <c r="T94" s="103">
        <f>55300</f>
        <v>55300</v>
      </c>
      <c r="U94" s="103">
        <f>79700</f>
        <v>79700</v>
      </c>
      <c r="V94" s="102">
        <f>60700</f>
        <v>60700</v>
      </c>
      <c r="W94" s="123">
        <v>298800</v>
      </c>
      <c r="X94" s="120">
        <v>298800</v>
      </c>
      <c r="Y94" s="29">
        <f>SUM(S94:X94)</f>
        <v>875700</v>
      </c>
      <c r="Z94" s="29">
        <f t="shared" si="3"/>
        <v>0</v>
      </c>
    </row>
    <row r="95" spans="1:26" ht="12.75">
      <c r="A95" s="214" t="s">
        <v>433</v>
      </c>
      <c r="B95" s="215"/>
      <c r="C95" s="215"/>
      <c r="D95" s="215"/>
      <c r="E95" s="215"/>
      <c r="F95" s="216"/>
      <c r="G95" s="217" t="s">
        <v>34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56">
        <f>SUM(S95:V95)</f>
        <v>77900</v>
      </c>
      <c r="S95" s="102">
        <f>24900</f>
        <v>24900</v>
      </c>
      <c r="T95" s="103">
        <f>16700</f>
        <v>16700</v>
      </c>
      <c r="U95" s="103">
        <f>22800</f>
        <v>22800</v>
      </c>
      <c r="V95" s="102">
        <f>13500</f>
        <v>13500</v>
      </c>
      <c r="W95" s="123">
        <v>83700</v>
      </c>
      <c r="X95" s="120">
        <v>83600</v>
      </c>
      <c r="Y95" s="29">
        <f>SUM(S95:W95)</f>
        <v>161600</v>
      </c>
      <c r="Z95" s="29">
        <f>R95-S95-T95-U95-V95</f>
        <v>0</v>
      </c>
    </row>
    <row r="96" spans="1:26" ht="12.75">
      <c r="A96" s="214" t="s">
        <v>434</v>
      </c>
      <c r="B96" s="215"/>
      <c r="C96" s="215"/>
      <c r="D96" s="215"/>
      <c r="E96" s="215"/>
      <c r="F96" s="216"/>
      <c r="G96" s="217" t="s">
        <v>229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55">
        <f aca="true" t="shared" si="35" ref="R96:X96">R97</f>
        <v>12000</v>
      </c>
      <c r="S96" s="65">
        <f t="shared" si="35"/>
        <v>0</v>
      </c>
      <c r="T96" s="32">
        <f t="shared" si="35"/>
        <v>12000</v>
      </c>
      <c r="U96" s="32">
        <f t="shared" si="35"/>
        <v>0</v>
      </c>
      <c r="V96" s="65">
        <f t="shared" si="35"/>
        <v>0</v>
      </c>
      <c r="W96" s="131">
        <f t="shared" si="35"/>
        <v>0</v>
      </c>
      <c r="X96" s="130">
        <f t="shared" si="35"/>
        <v>15000</v>
      </c>
      <c r="Y96" s="29">
        <f>SUM(S96:V96)</f>
        <v>12000</v>
      </c>
      <c r="Z96" s="29">
        <f>R96-S96-T96-U96-V96</f>
        <v>0</v>
      </c>
    </row>
    <row r="97" spans="1:26" ht="12.75">
      <c r="A97" s="214" t="s">
        <v>435</v>
      </c>
      <c r="B97" s="215"/>
      <c r="C97" s="215"/>
      <c r="D97" s="215"/>
      <c r="E97" s="215"/>
      <c r="F97" s="216"/>
      <c r="G97" s="217" t="s">
        <v>37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56">
        <f aca="true" t="shared" si="36" ref="R97:R107">SUM(S97:V97)</f>
        <v>12000</v>
      </c>
      <c r="S97" s="102">
        <v>0</v>
      </c>
      <c r="T97" s="103">
        <f>12000</f>
        <v>12000</v>
      </c>
      <c r="U97" s="103">
        <v>0</v>
      </c>
      <c r="V97" s="102">
        <v>0</v>
      </c>
      <c r="W97" s="123">
        <v>0</v>
      </c>
      <c r="X97" s="120">
        <v>15000</v>
      </c>
      <c r="Y97" s="29">
        <f>SUM(S97:V97)</f>
        <v>12000</v>
      </c>
      <c r="Z97" s="29">
        <f t="shared" si="3"/>
        <v>0</v>
      </c>
    </row>
    <row r="98" spans="1:26" ht="12.75">
      <c r="A98" s="214" t="s">
        <v>286</v>
      </c>
      <c r="B98" s="215"/>
      <c r="C98" s="215"/>
      <c r="D98" s="215"/>
      <c r="E98" s="215"/>
      <c r="F98" s="216"/>
      <c r="G98" s="217" t="s">
        <v>246</v>
      </c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55">
        <f>R99</f>
        <v>31000</v>
      </c>
      <c r="S98" s="65">
        <f aca="true" t="shared" si="37" ref="S98:X99">S99</f>
        <v>4500</v>
      </c>
      <c r="T98" s="32">
        <f t="shared" si="37"/>
        <v>6850</v>
      </c>
      <c r="U98" s="32">
        <f t="shared" si="37"/>
        <v>3000</v>
      </c>
      <c r="V98" s="65">
        <f t="shared" si="37"/>
        <v>16650</v>
      </c>
      <c r="W98" s="131">
        <f t="shared" si="37"/>
        <v>33000</v>
      </c>
      <c r="X98" s="130">
        <f t="shared" si="37"/>
        <v>33000</v>
      </c>
      <c r="Y98" s="29">
        <f>SUM(S98:V98)</f>
        <v>31000</v>
      </c>
      <c r="Z98" s="29">
        <f>R98-S98-T98-U98-V98</f>
        <v>0</v>
      </c>
    </row>
    <row r="99" spans="1:26" ht="24" customHeight="1">
      <c r="A99" s="214" t="s">
        <v>284</v>
      </c>
      <c r="B99" s="215"/>
      <c r="C99" s="215"/>
      <c r="D99" s="215"/>
      <c r="E99" s="215"/>
      <c r="F99" s="216"/>
      <c r="G99" s="217" t="s">
        <v>200</v>
      </c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55">
        <f>R100</f>
        <v>31000</v>
      </c>
      <c r="S99" s="65">
        <f t="shared" si="37"/>
        <v>4500</v>
      </c>
      <c r="T99" s="32">
        <f t="shared" si="37"/>
        <v>6850</v>
      </c>
      <c r="U99" s="32">
        <f t="shared" si="37"/>
        <v>3000</v>
      </c>
      <c r="V99" s="65">
        <f t="shared" si="37"/>
        <v>16650</v>
      </c>
      <c r="W99" s="131">
        <f t="shared" si="37"/>
        <v>33000</v>
      </c>
      <c r="X99" s="130">
        <f t="shared" si="37"/>
        <v>33000</v>
      </c>
      <c r="Y99" s="29">
        <f>SUM(S99:V99)</f>
        <v>31000</v>
      </c>
      <c r="Z99" s="29">
        <f>R99-S99-T99-U99-V99</f>
        <v>0</v>
      </c>
    </row>
    <row r="100" spans="1:26" ht="24" customHeight="1">
      <c r="A100" s="214" t="s">
        <v>285</v>
      </c>
      <c r="B100" s="215"/>
      <c r="C100" s="215"/>
      <c r="D100" s="215"/>
      <c r="E100" s="215"/>
      <c r="F100" s="216"/>
      <c r="G100" s="217" t="s">
        <v>247</v>
      </c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55">
        <f>SUM(R101:R107)</f>
        <v>31000</v>
      </c>
      <c r="S100" s="65">
        <f aca="true" t="shared" si="38" ref="S100:X100">SUM(S101:S107)</f>
        <v>4500</v>
      </c>
      <c r="T100" s="32">
        <f t="shared" si="38"/>
        <v>6850</v>
      </c>
      <c r="U100" s="32">
        <f t="shared" si="38"/>
        <v>3000</v>
      </c>
      <c r="V100" s="65">
        <f t="shared" si="38"/>
        <v>16650</v>
      </c>
      <c r="W100" s="131">
        <f t="shared" si="38"/>
        <v>33000</v>
      </c>
      <c r="X100" s="130">
        <f t="shared" si="38"/>
        <v>33000</v>
      </c>
      <c r="Y100" s="29">
        <f>SUM(S100:V100)</f>
        <v>31000</v>
      </c>
      <c r="Z100" s="29">
        <f>R100-S100-T100-U100-V100</f>
        <v>0</v>
      </c>
    </row>
    <row r="101" spans="1:26" ht="12.75">
      <c r="A101" s="214" t="s">
        <v>287</v>
      </c>
      <c r="B101" s="215"/>
      <c r="C101" s="215"/>
      <c r="D101" s="215"/>
      <c r="E101" s="215"/>
      <c r="F101" s="216"/>
      <c r="G101" s="217" t="s">
        <v>38</v>
      </c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56">
        <f t="shared" si="36"/>
        <v>8000</v>
      </c>
      <c r="S101" s="102">
        <f>2000</f>
        <v>2000</v>
      </c>
      <c r="T101" s="103">
        <f>2000</f>
        <v>2000</v>
      </c>
      <c r="U101" s="103">
        <f>2000</f>
        <v>2000</v>
      </c>
      <c r="V101" s="102">
        <f>2000</f>
        <v>2000</v>
      </c>
      <c r="W101" s="123">
        <v>9000</v>
      </c>
      <c r="X101" s="120">
        <v>9000</v>
      </c>
      <c r="Y101" s="29">
        <f>SUM(S101:W101)</f>
        <v>17000</v>
      </c>
      <c r="Z101" s="29">
        <f t="shared" si="3"/>
        <v>0</v>
      </c>
    </row>
    <row r="102" spans="1:26" ht="12.75" hidden="1">
      <c r="A102" s="214" t="s">
        <v>288</v>
      </c>
      <c r="B102" s="215"/>
      <c r="C102" s="215"/>
      <c r="D102" s="215"/>
      <c r="E102" s="215"/>
      <c r="F102" s="216"/>
      <c r="G102" s="217" t="s">
        <v>39</v>
      </c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56">
        <f t="shared" si="36"/>
        <v>0</v>
      </c>
      <c r="S102" s="102"/>
      <c r="T102" s="103"/>
      <c r="U102" s="103"/>
      <c r="V102" s="102"/>
      <c r="W102" s="123">
        <v>0</v>
      </c>
      <c r="X102" s="120">
        <v>0</v>
      </c>
      <c r="Y102" s="29">
        <f>SUM(S102:V102)</f>
        <v>0</v>
      </c>
      <c r="Z102" s="29">
        <f t="shared" si="3"/>
        <v>0</v>
      </c>
    </row>
    <row r="103" spans="1:26" ht="12.75">
      <c r="A103" s="214" t="s">
        <v>289</v>
      </c>
      <c r="B103" s="215"/>
      <c r="C103" s="215"/>
      <c r="D103" s="215"/>
      <c r="E103" s="215"/>
      <c r="F103" s="216"/>
      <c r="G103" s="217" t="s">
        <v>40</v>
      </c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56">
        <f t="shared" si="36"/>
        <v>8000</v>
      </c>
      <c r="S103" s="102">
        <v>2500</v>
      </c>
      <c r="T103" s="103">
        <v>2000</v>
      </c>
      <c r="U103" s="103">
        <v>1000</v>
      </c>
      <c r="V103" s="102">
        <f>2500</f>
        <v>2500</v>
      </c>
      <c r="W103" s="123">
        <v>9000</v>
      </c>
      <c r="X103" s="120">
        <v>9000</v>
      </c>
      <c r="Y103" s="29">
        <f>SUM(S103:W103)</f>
        <v>17000</v>
      </c>
      <c r="Z103" s="29">
        <f t="shared" si="3"/>
        <v>0</v>
      </c>
    </row>
    <row r="104" spans="1:26" ht="12.75" hidden="1">
      <c r="A104" s="214" t="s">
        <v>290</v>
      </c>
      <c r="B104" s="215"/>
      <c r="C104" s="215"/>
      <c r="D104" s="215"/>
      <c r="E104" s="215"/>
      <c r="F104" s="216"/>
      <c r="G104" s="217" t="s">
        <v>41</v>
      </c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56">
        <f>SUM(S104:V104)</f>
        <v>0</v>
      </c>
      <c r="S104" s="102">
        <v>0</v>
      </c>
      <c r="T104" s="103">
        <v>0</v>
      </c>
      <c r="U104" s="103">
        <v>0</v>
      </c>
      <c r="V104" s="102">
        <v>0</v>
      </c>
      <c r="W104" s="123">
        <v>0</v>
      </c>
      <c r="X104" s="120">
        <v>0</v>
      </c>
      <c r="Y104" s="29">
        <f>SUM(S104:W104)</f>
        <v>0</v>
      </c>
      <c r="Z104" s="29">
        <f t="shared" si="3"/>
        <v>0</v>
      </c>
    </row>
    <row r="105" spans="1:26" ht="12.75">
      <c r="A105" s="214" t="s">
        <v>291</v>
      </c>
      <c r="B105" s="215"/>
      <c r="C105" s="215"/>
      <c r="D105" s="215"/>
      <c r="E105" s="215"/>
      <c r="F105" s="216"/>
      <c r="G105" s="217" t="s">
        <v>42</v>
      </c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56">
        <f>SUM(S105:V105)</f>
        <v>5000</v>
      </c>
      <c r="S105" s="102">
        <v>0</v>
      </c>
      <c r="T105" s="103">
        <v>0</v>
      </c>
      <c r="U105" s="103">
        <v>0</v>
      </c>
      <c r="V105" s="102">
        <f>5000</f>
        <v>5000</v>
      </c>
      <c r="W105" s="123">
        <v>5000</v>
      </c>
      <c r="X105" s="120">
        <v>5000</v>
      </c>
      <c r="Y105" s="29">
        <f>SUM(S105:W105)</f>
        <v>10000</v>
      </c>
      <c r="Z105" s="29">
        <f t="shared" si="3"/>
        <v>0</v>
      </c>
    </row>
    <row r="106" spans="1:26" ht="12.75" hidden="1">
      <c r="A106" s="214" t="s">
        <v>292</v>
      </c>
      <c r="B106" s="215"/>
      <c r="C106" s="215"/>
      <c r="D106" s="215"/>
      <c r="E106" s="215"/>
      <c r="F106" s="216"/>
      <c r="G106" s="217" t="s">
        <v>43</v>
      </c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56">
        <f t="shared" si="36"/>
        <v>0</v>
      </c>
      <c r="S106" s="102">
        <v>0</v>
      </c>
      <c r="T106" s="103">
        <v>0</v>
      </c>
      <c r="U106" s="103">
        <v>0</v>
      </c>
      <c r="V106" s="102">
        <v>0</v>
      </c>
      <c r="W106" s="123">
        <v>0</v>
      </c>
      <c r="X106" s="120">
        <v>0</v>
      </c>
      <c r="Y106" s="29">
        <f>SUM(S106:X106)</f>
        <v>0</v>
      </c>
      <c r="Z106" s="29">
        <f t="shared" si="3"/>
        <v>0</v>
      </c>
    </row>
    <row r="107" spans="1:26" ht="12.75">
      <c r="A107" s="214" t="s">
        <v>293</v>
      </c>
      <c r="B107" s="215"/>
      <c r="C107" s="215"/>
      <c r="D107" s="215"/>
      <c r="E107" s="215"/>
      <c r="F107" s="216"/>
      <c r="G107" s="173" t="s">
        <v>71</v>
      </c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56">
        <f t="shared" si="36"/>
        <v>10000</v>
      </c>
      <c r="S107" s="102">
        <v>0</v>
      </c>
      <c r="T107" s="103">
        <f>2850</f>
        <v>2850</v>
      </c>
      <c r="U107" s="103">
        <v>0</v>
      </c>
      <c r="V107" s="102">
        <f>7150</f>
        <v>7150</v>
      </c>
      <c r="W107" s="123">
        <v>10000</v>
      </c>
      <c r="X107" s="120">
        <v>10000</v>
      </c>
      <c r="Y107" s="29">
        <f>SUM(S107:W107)</f>
        <v>20000</v>
      </c>
      <c r="Z107" s="29">
        <f aca="true" t="shared" si="39" ref="Z107:Z231">R107-S107-T107-U107-V107</f>
        <v>0</v>
      </c>
    </row>
    <row r="108" spans="1:26" ht="12.75" hidden="1">
      <c r="A108" s="214" t="s">
        <v>297</v>
      </c>
      <c r="B108" s="215"/>
      <c r="C108" s="215"/>
      <c r="D108" s="215"/>
      <c r="E108" s="215"/>
      <c r="F108" s="216"/>
      <c r="G108" s="217" t="s">
        <v>248</v>
      </c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55">
        <f>R109</f>
        <v>0</v>
      </c>
      <c r="S108" s="65">
        <f aca="true" t="shared" si="40" ref="S108:X110">S109</f>
        <v>0</v>
      </c>
      <c r="T108" s="32">
        <f t="shared" si="40"/>
        <v>0</v>
      </c>
      <c r="U108" s="32">
        <f t="shared" si="40"/>
        <v>0</v>
      </c>
      <c r="V108" s="65">
        <f t="shared" si="40"/>
        <v>0</v>
      </c>
      <c r="W108" s="131">
        <f t="shared" si="40"/>
        <v>0</v>
      </c>
      <c r="X108" s="130">
        <f t="shared" si="40"/>
        <v>0</v>
      </c>
      <c r="Y108" s="29">
        <f>SUM(S108:V108)</f>
        <v>0</v>
      </c>
      <c r="Z108" s="29">
        <f>R108-S108-T108-U108-V108</f>
        <v>0</v>
      </c>
    </row>
    <row r="109" spans="1:26" ht="12.75" hidden="1">
      <c r="A109" s="214" t="s">
        <v>296</v>
      </c>
      <c r="B109" s="215"/>
      <c r="C109" s="215"/>
      <c r="D109" s="215"/>
      <c r="E109" s="215"/>
      <c r="F109" s="216"/>
      <c r="G109" s="217" t="s">
        <v>249</v>
      </c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55">
        <f>R110</f>
        <v>0</v>
      </c>
      <c r="S109" s="65">
        <f t="shared" si="40"/>
        <v>0</v>
      </c>
      <c r="T109" s="32">
        <f t="shared" si="40"/>
        <v>0</v>
      </c>
      <c r="U109" s="32">
        <f t="shared" si="40"/>
        <v>0</v>
      </c>
      <c r="V109" s="65">
        <f t="shared" si="40"/>
        <v>0</v>
      </c>
      <c r="W109" s="131">
        <f t="shared" si="40"/>
        <v>0</v>
      </c>
      <c r="X109" s="130">
        <f t="shared" si="40"/>
        <v>0</v>
      </c>
      <c r="Y109" s="29">
        <f>SUM(S109:V109)</f>
        <v>0</v>
      </c>
      <c r="Z109" s="29">
        <f>R109-S109-T109-U109-V109</f>
        <v>0</v>
      </c>
    </row>
    <row r="110" spans="1:26" ht="12.75" hidden="1">
      <c r="A110" s="214" t="s">
        <v>295</v>
      </c>
      <c r="B110" s="215"/>
      <c r="C110" s="215"/>
      <c r="D110" s="215"/>
      <c r="E110" s="215"/>
      <c r="F110" s="216"/>
      <c r="G110" s="217" t="s">
        <v>250</v>
      </c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55">
        <f>R111</f>
        <v>0</v>
      </c>
      <c r="S110" s="65">
        <f t="shared" si="40"/>
        <v>0</v>
      </c>
      <c r="T110" s="32">
        <f t="shared" si="40"/>
        <v>0</v>
      </c>
      <c r="U110" s="32">
        <f t="shared" si="40"/>
        <v>0</v>
      </c>
      <c r="V110" s="65">
        <f t="shared" si="40"/>
        <v>0</v>
      </c>
      <c r="W110" s="131">
        <f t="shared" si="40"/>
        <v>0</v>
      </c>
      <c r="X110" s="130">
        <f t="shared" si="40"/>
        <v>0</v>
      </c>
      <c r="Y110" s="29">
        <f>SUM(S110:V110)</f>
        <v>0</v>
      </c>
      <c r="Z110" s="29">
        <f>R110-S110-T110-U110-V110</f>
        <v>0</v>
      </c>
    </row>
    <row r="111" spans="1:26" ht="12.75" hidden="1">
      <c r="A111" s="214" t="s">
        <v>294</v>
      </c>
      <c r="B111" s="215"/>
      <c r="C111" s="215"/>
      <c r="D111" s="215"/>
      <c r="E111" s="215"/>
      <c r="F111" s="216"/>
      <c r="G111" s="217" t="s">
        <v>72</v>
      </c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56">
        <f>SUM(S111:V111)</f>
        <v>0</v>
      </c>
      <c r="S111" s="102">
        <v>0</v>
      </c>
      <c r="T111" s="103">
        <v>0</v>
      </c>
      <c r="U111" s="103">
        <v>0</v>
      </c>
      <c r="V111" s="102">
        <v>0</v>
      </c>
      <c r="W111" s="123">
        <v>0</v>
      </c>
      <c r="X111" s="120">
        <v>0</v>
      </c>
      <c r="Y111" s="29">
        <f>SUM(S111:W111)</f>
        <v>0</v>
      </c>
      <c r="Z111" s="29">
        <f>R111-S111-T111-U111-V111</f>
        <v>0</v>
      </c>
    </row>
    <row r="112" spans="1:26" s="4" customFormat="1" ht="12.75" hidden="1">
      <c r="A112" s="200" t="s">
        <v>259</v>
      </c>
      <c r="B112" s="201"/>
      <c r="C112" s="201"/>
      <c r="D112" s="201"/>
      <c r="E112" s="201"/>
      <c r="F112" s="85"/>
      <c r="G112" s="203" t="s">
        <v>257</v>
      </c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38">
        <f>R113</f>
        <v>0</v>
      </c>
      <c r="S112" s="64">
        <f aca="true" t="shared" si="41" ref="S112:X116">S113</f>
        <v>0</v>
      </c>
      <c r="T112" s="30">
        <f t="shared" si="41"/>
        <v>0</v>
      </c>
      <c r="U112" s="30">
        <f t="shared" si="41"/>
        <v>0</v>
      </c>
      <c r="V112" s="64">
        <f t="shared" si="41"/>
        <v>0</v>
      </c>
      <c r="W112" s="38">
        <f t="shared" si="41"/>
        <v>0</v>
      </c>
      <c r="X112" s="114">
        <f t="shared" si="41"/>
        <v>0</v>
      </c>
      <c r="Y112" s="127"/>
      <c r="Z112" s="127">
        <f aca="true" t="shared" si="42" ref="Z112:Z119">R112-S112-T112-U112-V112</f>
        <v>0</v>
      </c>
    </row>
    <row r="113" spans="1:26" s="49" customFormat="1" ht="12.75" hidden="1">
      <c r="A113" s="205" t="s">
        <v>258</v>
      </c>
      <c r="B113" s="206"/>
      <c r="C113" s="206"/>
      <c r="D113" s="206"/>
      <c r="E113" s="206"/>
      <c r="F113" s="47"/>
      <c r="G113" s="207" t="s">
        <v>86</v>
      </c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53">
        <f>R114</f>
        <v>0</v>
      </c>
      <c r="S113" s="88">
        <f t="shared" si="41"/>
        <v>0</v>
      </c>
      <c r="T113" s="51">
        <f t="shared" si="41"/>
        <v>0</v>
      </c>
      <c r="U113" s="51">
        <f t="shared" si="41"/>
        <v>0</v>
      </c>
      <c r="V113" s="88">
        <f t="shared" si="41"/>
        <v>0</v>
      </c>
      <c r="W113" s="53">
        <f t="shared" si="41"/>
        <v>0</v>
      </c>
      <c r="X113" s="115">
        <f t="shared" si="41"/>
        <v>0</v>
      </c>
      <c r="Y113" s="48"/>
      <c r="Z113" s="29">
        <f>R113-S113-T113-U113-V113</f>
        <v>0</v>
      </c>
    </row>
    <row r="114" spans="1:26" s="3" customFormat="1" ht="12.75" hidden="1">
      <c r="A114" s="209" t="s">
        <v>260</v>
      </c>
      <c r="B114" s="210"/>
      <c r="C114" s="210"/>
      <c r="D114" s="210"/>
      <c r="E114" s="210"/>
      <c r="F114" s="211"/>
      <c r="G114" s="212" t="s">
        <v>79</v>
      </c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54">
        <f>R115</f>
        <v>0</v>
      </c>
      <c r="S114" s="90">
        <f t="shared" si="41"/>
        <v>0</v>
      </c>
      <c r="T114" s="31">
        <f t="shared" si="41"/>
        <v>0</v>
      </c>
      <c r="U114" s="31">
        <f t="shared" si="41"/>
        <v>0</v>
      </c>
      <c r="V114" s="90">
        <f t="shared" si="41"/>
        <v>0</v>
      </c>
      <c r="W114" s="54">
        <f t="shared" si="41"/>
        <v>0</v>
      </c>
      <c r="X114" s="116">
        <f t="shared" si="41"/>
        <v>0</v>
      </c>
      <c r="Y114" s="29">
        <f>SUM(S114:V114)</f>
        <v>0</v>
      </c>
      <c r="Z114" s="29">
        <f t="shared" si="42"/>
        <v>0</v>
      </c>
    </row>
    <row r="115" spans="1:26" ht="12.75" hidden="1">
      <c r="A115" s="214" t="s">
        <v>261</v>
      </c>
      <c r="B115" s="215"/>
      <c r="C115" s="215"/>
      <c r="D115" s="215"/>
      <c r="E115" s="215"/>
      <c r="F115" s="216"/>
      <c r="G115" s="217" t="s">
        <v>246</v>
      </c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55">
        <f>R116</f>
        <v>0</v>
      </c>
      <c r="S115" s="65">
        <f t="shared" si="41"/>
        <v>0</v>
      </c>
      <c r="T115" s="32">
        <f t="shared" si="41"/>
        <v>0</v>
      </c>
      <c r="U115" s="32">
        <f t="shared" si="41"/>
        <v>0</v>
      </c>
      <c r="V115" s="65">
        <f t="shared" si="41"/>
        <v>0</v>
      </c>
      <c r="W115" s="55">
        <f t="shared" si="41"/>
        <v>0</v>
      </c>
      <c r="X115" s="117">
        <f t="shared" si="41"/>
        <v>0</v>
      </c>
      <c r="Y115" s="29">
        <f>SUM(S115:V115)</f>
        <v>0</v>
      </c>
      <c r="Z115" s="29">
        <f t="shared" si="42"/>
        <v>0</v>
      </c>
    </row>
    <row r="116" spans="1:26" ht="24" customHeight="1" hidden="1">
      <c r="A116" s="214" t="s">
        <v>262</v>
      </c>
      <c r="B116" s="215"/>
      <c r="C116" s="215"/>
      <c r="D116" s="215"/>
      <c r="E116" s="215"/>
      <c r="F116" s="216"/>
      <c r="G116" s="217" t="s">
        <v>200</v>
      </c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55">
        <f>R117</f>
        <v>0</v>
      </c>
      <c r="S116" s="65">
        <f t="shared" si="41"/>
        <v>0</v>
      </c>
      <c r="T116" s="32">
        <f t="shared" si="41"/>
        <v>0</v>
      </c>
      <c r="U116" s="32">
        <f t="shared" si="41"/>
        <v>0</v>
      </c>
      <c r="V116" s="65">
        <f t="shared" si="41"/>
        <v>0</v>
      </c>
      <c r="W116" s="55">
        <f t="shared" si="41"/>
        <v>0</v>
      </c>
      <c r="X116" s="117">
        <f t="shared" si="41"/>
        <v>0</v>
      </c>
      <c r="Y116" s="29">
        <f>SUM(S116:V116)</f>
        <v>0</v>
      </c>
      <c r="Z116" s="29">
        <f>R116-S116-T116-U116-V116</f>
        <v>0</v>
      </c>
    </row>
    <row r="117" spans="1:26" ht="24" customHeight="1" hidden="1">
      <c r="A117" s="214" t="s">
        <v>263</v>
      </c>
      <c r="B117" s="215"/>
      <c r="C117" s="215"/>
      <c r="D117" s="215"/>
      <c r="E117" s="215"/>
      <c r="F117" s="216"/>
      <c r="G117" s="217" t="s">
        <v>247</v>
      </c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55">
        <f>R118+R119</f>
        <v>0</v>
      </c>
      <c r="S117" s="65">
        <f aca="true" t="shared" si="43" ref="S117:X117">S118+S119</f>
        <v>0</v>
      </c>
      <c r="T117" s="32">
        <f t="shared" si="43"/>
        <v>0</v>
      </c>
      <c r="U117" s="32">
        <f t="shared" si="43"/>
        <v>0</v>
      </c>
      <c r="V117" s="65">
        <f t="shared" si="43"/>
        <v>0</v>
      </c>
      <c r="W117" s="55">
        <f t="shared" si="43"/>
        <v>0</v>
      </c>
      <c r="X117" s="117">
        <f t="shared" si="43"/>
        <v>0</v>
      </c>
      <c r="Y117" s="29">
        <f>SUM(S117:V117)</f>
        <v>0</v>
      </c>
      <c r="Z117" s="29">
        <f>R117-S117-T117-U117-V117</f>
        <v>0</v>
      </c>
    </row>
    <row r="118" spans="1:26" s="129" customFormat="1" ht="12.75" hidden="1">
      <c r="A118" s="170" t="s">
        <v>264</v>
      </c>
      <c r="B118" s="171"/>
      <c r="C118" s="171"/>
      <c r="D118" s="171"/>
      <c r="E118" s="171"/>
      <c r="F118" s="172"/>
      <c r="G118" s="175" t="s">
        <v>43</v>
      </c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23">
        <f>SUM(S118:V118)</f>
        <v>0</v>
      </c>
      <c r="S118" s="102">
        <v>0</v>
      </c>
      <c r="T118" s="103">
        <v>0</v>
      </c>
      <c r="U118" s="103">
        <v>0</v>
      </c>
      <c r="V118" s="102">
        <v>0</v>
      </c>
      <c r="W118" s="123">
        <v>0</v>
      </c>
      <c r="X118" s="120">
        <v>0</v>
      </c>
      <c r="Y118" s="128">
        <f>SUM(S118:X118)</f>
        <v>0</v>
      </c>
      <c r="Z118" s="128">
        <f t="shared" si="42"/>
        <v>0</v>
      </c>
    </row>
    <row r="119" spans="1:26" s="129" customFormat="1" ht="12.75" hidden="1">
      <c r="A119" s="170" t="s">
        <v>265</v>
      </c>
      <c r="B119" s="171"/>
      <c r="C119" s="171"/>
      <c r="D119" s="171"/>
      <c r="E119" s="171"/>
      <c r="F119" s="172"/>
      <c r="G119" s="173" t="s">
        <v>71</v>
      </c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23">
        <f>SUM(S119:V119)</f>
        <v>0</v>
      </c>
      <c r="S119" s="102"/>
      <c r="T119" s="103"/>
      <c r="U119" s="103"/>
      <c r="V119" s="102"/>
      <c r="W119" s="123"/>
      <c r="X119" s="120"/>
      <c r="Y119" s="128">
        <f>SUM(S119:X119)</f>
        <v>0</v>
      </c>
      <c r="Z119" s="128">
        <f t="shared" si="42"/>
        <v>0</v>
      </c>
    </row>
    <row r="120" spans="1:26" ht="16.5" customHeight="1">
      <c r="A120" s="200" t="s">
        <v>120</v>
      </c>
      <c r="B120" s="201"/>
      <c r="C120" s="201"/>
      <c r="D120" s="201"/>
      <c r="E120" s="201"/>
      <c r="F120" s="85"/>
      <c r="G120" s="249" t="s">
        <v>99</v>
      </c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  <c r="R120" s="38">
        <f>R121</f>
        <v>267500</v>
      </c>
      <c r="S120" s="64">
        <f aca="true" t="shared" si="44" ref="S120:X124">S121</f>
        <v>65250</v>
      </c>
      <c r="T120" s="30">
        <f t="shared" si="44"/>
        <v>71750</v>
      </c>
      <c r="U120" s="30">
        <f t="shared" si="44"/>
        <v>65250</v>
      </c>
      <c r="V120" s="64">
        <f t="shared" si="44"/>
        <v>65250</v>
      </c>
      <c r="W120" s="38">
        <f t="shared" si="44"/>
        <v>277400</v>
      </c>
      <c r="X120" s="114">
        <f t="shared" si="44"/>
        <v>284100</v>
      </c>
      <c r="Y120" s="29"/>
      <c r="Z120" s="29">
        <f t="shared" si="39"/>
        <v>0</v>
      </c>
    </row>
    <row r="121" spans="1:26" ht="24.75" customHeight="1">
      <c r="A121" s="205" t="s">
        <v>121</v>
      </c>
      <c r="B121" s="206"/>
      <c r="C121" s="206"/>
      <c r="D121" s="206"/>
      <c r="E121" s="206"/>
      <c r="F121" s="236"/>
      <c r="G121" s="247" t="s">
        <v>100</v>
      </c>
      <c r="H121" s="248"/>
      <c r="I121" s="248"/>
      <c r="J121" s="248"/>
      <c r="K121" s="248"/>
      <c r="L121" s="248"/>
      <c r="M121" s="248"/>
      <c r="N121" s="248"/>
      <c r="O121" s="248"/>
      <c r="P121" s="248"/>
      <c r="Q121" s="248"/>
      <c r="R121" s="53">
        <f>R122</f>
        <v>267500</v>
      </c>
      <c r="S121" s="88">
        <f t="shared" si="44"/>
        <v>65250</v>
      </c>
      <c r="T121" s="51">
        <f t="shared" si="44"/>
        <v>71750</v>
      </c>
      <c r="U121" s="51">
        <f t="shared" si="44"/>
        <v>65250</v>
      </c>
      <c r="V121" s="88">
        <f t="shared" si="44"/>
        <v>65250</v>
      </c>
      <c r="W121" s="53">
        <f t="shared" si="44"/>
        <v>277400</v>
      </c>
      <c r="X121" s="115">
        <f t="shared" si="44"/>
        <v>284100</v>
      </c>
      <c r="Y121" s="29"/>
      <c r="Z121" s="29">
        <f t="shared" si="39"/>
        <v>0</v>
      </c>
    </row>
    <row r="122" spans="1:26" ht="24.75" customHeight="1">
      <c r="A122" s="209" t="s">
        <v>122</v>
      </c>
      <c r="B122" s="210"/>
      <c r="C122" s="210"/>
      <c r="D122" s="210"/>
      <c r="E122" s="210"/>
      <c r="F122" s="86"/>
      <c r="G122" s="251" t="s">
        <v>101</v>
      </c>
      <c r="H122" s="252"/>
      <c r="I122" s="252"/>
      <c r="J122" s="252"/>
      <c r="K122" s="252"/>
      <c r="L122" s="252"/>
      <c r="M122" s="252"/>
      <c r="N122" s="252"/>
      <c r="O122" s="252"/>
      <c r="P122" s="252"/>
      <c r="Q122" s="252"/>
      <c r="R122" s="54">
        <f>R123</f>
        <v>267500</v>
      </c>
      <c r="S122" s="90">
        <f t="shared" si="44"/>
        <v>65250</v>
      </c>
      <c r="T122" s="31">
        <f t="shared" si="44"/>
        <v>71750</v>
      </c>
      <c r="U122" s="31">
        <f t="shared" si="44"/>
        <v>65250</v>
      </c>
      <c r="V122" s="90">
        <f t="shared" si="44"/>
        <v>65250</v>
      </c>
      <c r="W122" s="54">
        <f t="shared" si="44"/>
        <v>277400</v>
      </c>
      <c r="X122" s="116">
        <f t="shared" si="44"/>
        <v>284100</v>
      </c>
      <c r="Y122" s="29"/>
      <c r="Z122" s="29">
        <f t="shared" si="39"/>
        <v>0</v>
      </c>
    </row>
    <row r="123" spans="1:26" ht="12.75">
      <c r="A123" s="214" t="s">
        <v>298</v>
      </c>
      <c r="B123" s="215"/>
      <c r="C123" s="215"/>
      <c r="D123" s="215"/>
      <c r="E123" s="215"/>
      <c r="F123" s="216"/>
      <c r="G123" s="217" t="s">
        <v>246</v>
      </c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55">
        <f>R124</f>
        <v>267500</v>
      </c>
      <c r="S123" s="65">
        <f t="shared" si="44"/>
        <v>65250</v>
      </c>
      <c r="T123" s="32">
        <f t="shared" si="44"/>
        <v>71750</v>
      </c>
      <c r="U123" s="32">
        <f t="shared" si="44"/>
        <v>65250</v>
      </c>
      <c r="V123" s="65">
        <f t="shared" si="44"/>
        <v>65250</v>
      </c>
      <c r="W123" s="55">
        <f t="shared" si="44"/>
        <v>277400</v>
      </c>
      <c r="X123" s="117">
        <f t="shared" si="44"/>
        <v>284100</v>
      </c>
      <c r="Y123" s="29">
        <f>SUM(S123:V123)</f>
        <v>267500</v>
      </c>
      <c r="Z123" s="29">
        <f t="shared" si="39"/>
        <v>0</v>
      </c>
    </row>
    <row r="124" spans="1:26" ht="24" customHeight="1">
      <c r="A124" s="214" t="s">
        <v>299</v>
      </c>
      <c r="B124" s="215"/>
      <c r="C124" s="215"/>
      <c r="D124" s="215"/>
      <c r="E124" s="215"/>
      <c r="F124" s="216"/>
      <c r="G124" s="217" t="s">
        <v>200</v>
      </c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55">
        <f>R125</f>
        <v>267500</v>
      </c>
      <c r="S124" s="65">
        <f t="shared" si="44"/>
        <v>65250</v>
      </c>
      <c r="T124" s="32">
        <f t="shared" si="44"/>
        <v>71750</v>
      </c>
      <c r="U124" s="32">
        <f t="shared" si="44"/>
        <v>65250</v>
      </c>
      <c r="V124" s="65">
        <f t="shared" si="44"/>
        <v>65250</v>
      </c>
      <c r="W124" s="55">
        <f t="shared" si="44"/>
        <v>277400</v>
      </c>
      <c r="X124" s="117">
        <f t="shared" si="44"/>
        <v>284100</v>
      </c>
      <c r="Y124" s="29">
        <f>SUM(S124:V124)</f>
        <v>267500</v>
      </c>
      <c r="Z124" s="29">
        <f>R124-S124-T124-U124-V124</f>
        <v>0</v>
      </c>
    </row>
    <row r="125" spans="1:26" ht="24" customHeight="1">
      <c r="A125" s="214" t="s">
        <v>300</v>
      </c>
      <c r="B125" s="215"/>
      <c r="C125" s="215"/>
      <c r="D125" s="215"/>
      <c r="E125" s="215"/>
      <c r="F125" s="216"/>
      <c r="G125" s="217" t="s">
        <v>247</v>
      </c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55">
        <f>SUM(R126:R130)</f>
        <v>267500</v>
      </c>
      <c r="S125" s="65">
        <f aca="true" t="shared" si="45" ref="S125:X125">SUM(S126:S130)</f>
        <v>65250</v>
      </c>
      <c r="T125" s="32">
        <f t="shared" si="45"/>
        <v>71750</v>
      </c>
      <c r="U125" s="32">
        <f t="shared" si="45"/>
        <v>65250</v>
      </c>
      <c r="V125" s="65">
        <f t="shared" si="45"/>
        <v>65250</v>
      </c>
      <c r="W125" s="131">
        <f t="shared" si="45"/>
        <v>277400</v>
      </c>
      <c r="X125" s="130">
        <f t="shared" si="45"/>
        <v>284100</v>
      </c>
      <c r="Y125" s="29">
        <f>SUM(S125:V125)</f>
        <v>267500</v>
      </c>
      <c r="Z125" s="29">
        <f>R125-S125-T125-U125-V125</f>
        <v>0</v>
      </c>
    </row>
    <row r="126" spans="1:26" ht="12.75">
      <c r="A126" s="214" t="s">
        <v>301</v>
      </c>
      <c r="B126" s="215"/>
      <c r="C126" s="215"/>
      <c r="D126" s="215"/>
      <c r="E126" s="215"/>
      <c r="F126" s="43"/>
      <c r="G126" s="217" t="s">
        <v>39</v>
      </c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56">
        <f>S126+T126+U126+V126</f>
        <v>5000</v>
      </c>
      <c r="S126" s="102">
        <f>1250</f>
        <v>1250</v>
      </c>
      <c r="T126" s="103">
        <f>1250</f>
        <v>1250</v>
      </c>
      <c r="U126" s="103">
        <f>1250</f>
        <v>1250</v>
      </c>
      <c r="V126" s="102">
        <f>1250</f>
        <v>1250</v>
      </c>
      <c r="W126" s="123">
        <v>5000</v>
      </c>
      <c r="X126" s="120">
        <v>5000</v>
      </c>
      <c r="Y126" s="29"/>
      <c r="Z126" s="29">
        <f t="shared" si="39"/>
        <v>0</v>
      </c>
    </row>
    <row r="127" spans="1:26" ht="12.75">
      <c r="A127" s="214" t="s">
        <v>302</v>
      </c>
      <c r="B127" s="215"/>
      <c r="C127" s="215"/>
      <c r="D127" s="215"/>
      <c r="E127" s="215"/>
      <c r="F127" s="43"/>
      <c r="G127" s="217" t="s">
        <v>41</v>
      </c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56">
        <f>S127+T127+U127+V127</f>
        <v>20000</v>
      </c>
      <c r="S127" s="102">
        <f>5000</f>
        <v>5000</v>
      </c>
      <c r="T127" s="103">
        <f>5000</f>
        <v>5000</v>
      </c>
      <c r="U127" s="103">
        <f>5000</f>
        <v>5000</v>
      </c>
      <c r="V127" s="102">
        <f>5000</f>
        <v>5000</v>
      </c>
      <c r="W127" s="123">
        <v>20000</v>
      </c>
      <c r="X127" s="120">
        <v>20000</v>
      </c>
      <c r="Y127" s="29"/>
      <c r="Z127" s="29">
        <f>R127-S127-T127-U127-V127</f>
        <v>0</v>
      </c>
    </row>
    <row r="128" spans="1:26" ht="12.75">
      <c r="A128" s="214" t="s">
        <v>303</v>
      </c>
      <c r="B128" s="215"/>
      <c r="C128" s="215"/>
      <c r="D128" s="215"/>
      <c r="E128" s="215"/>
      <c r="F128" s="43"/>
      <c r="G128" s="217" t="s">
        <v>42</v>
      </c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56">
        <f>S128+T128+U128+V128</f>
        <v>142500</v>
      </c>
      <c r="S128" s="102">
        <f>34000</f>
        <v>34000</v>
      </c>
      <c r="T128" s="103">
        <f>40500</f>
        <v>40500</v>
      </c>
      <c r="U128" s="103">
        <f>34000</f>
        <v>34000</v>
      </c>
      <c r="V128" s="102">
        <f>34000</f>
        <v>34000</v>
      </c>
      <c r="W128" s="123">
        <v>152400</v>
      </c>
      <c r="X128" s="120">
        <v>159100</v>
      </c>
      <c r="Y128" s="29"/>
      <c r="Z128" s="29">
        <f t="shared" si="39"/>
        <v>0</v>
      </c>
    </row>
    <row r="129" spans="1:26" ht="12.75" hidden="1">
      <c r="A129" s="214" t="s">
        <v>304</v>
      </c>
      <c r="B129" s="215"/>
      <c r="C129" s="215"/>
      <c r="D129" s="215"/>
      <c r="E129" s="215"/>
      <c r="F129" s="43"/>
      <c r="G129" s="217" t="s">
        <v>43</v>
      </c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56">
        <f>S129+T129+U129+V129</f>
        <v>0</v>
      </c>
      <c r="S129" s="102">
        <v>0</v>
      </c>
      <c r="T129" s="103">
        <v>0</v>
      </c>
      <c r="U129" s="103">
        <v>0</v>
      </c>
      <c r="V129" s="102">
        <v>0</v>
      </c>
      <c r="W129" s="123">
        <v>0</v>
      </c>
      <c r="X129" s="120">
        <v>0</v>
      </c>
      <c r="Y129" s="29"/>
      <c r="Z129" s="29">
        <f t="shared" si="39"/>
        <v>0</v>
      </c>
    </row>
    <row r="130" spans="1:26" ht="12.75">
      <c r="A130" s="214" t="s">
        <v>305</v>
      </c>
      <c r="B130" s="215"/>
      <c r="C130" s="215"/>
      <c r="D130" s="215"/>
      <c r="E130" s="216"/>
      <c r="F130" s="217" t="s">
        <v>71</v>
      </c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56">
        <f>S130+T130+U130+V130</f>
        <v>100000</v>
      </c>
      <c r="S130" s="102">
        <f>25000</f>
        <v>25000</v>
      </c>
      <c r="T130" s="103">
        <f>25000</f>
        <v>25000</v>
      </c>
      <c r="U130" s="103">
        <f>25000</f>
        <v>25000</v>
      </c>
      <c r="V130" s="102">
        <f>25000</f>
        <v>25000</v>
      </c>
      <c r="W130" s="123">
        <v>100000</v>
      </c>
      <c r="X130" s="120">
        <v>100000</v>
      </c>
      <c r="Y130" s="29"/>
      <c r="Z130" s="29">
        <f t="shared" si="39"/>
        <v>0</v>
      </c>
    </row>
    <row r="131" spans="1:26" s="69" customFormat="1" ht="12.75" hidden="1">
      <c r="A131" s="253" t="s">
        <v>123</v>
      </c>
      <c r="B131" s="254"/>
      <c r="C131" s="254"/>
      <c r="D131" s="254"/>
      <c r="E131" s="254"/>
      <c r="F131" s="255"/>
      <c r="G131" s="256" t="s">
        <v>172</v>
      </c>
      <c r="H131" s="257"/>
      <c r="I131" s="257"/>
      <c r="J131" s="257"/>
      <c r="K131" s="257"/>
      <c r="L131" s="257"/>
      <c r="M131" s="257"/>
      <c r="N131" s="257"/>
      <c r="O131" s="257"/>
      <c r="P131" s="257"/>
      <c r="Q131" s="257"/>
      <c r="R131" s="79">
        <f aca="true" t="shared" si="46" ref="R131:X131">R132</f>
        <v>0</v>
      </c>
      <c r="S131" s="66">
        <f t="shared" si="46"/>
        <v>0</v>
      </c>
      <c r="T131" s="67">
        <f>T132</f>
        <v>0</v>
      </c>
      <c r="U131" s="67">
        <f>U132</f>
        <v>0</v>
      </c>
      <c r="V131" s="66">
        <f>V132</f>
        <v>0</v>
      </c>
      <c r="W131" s="137">
        <f t="shared" si="46"/>
        <v>0</v>
      </c>
      <c r="X131" s="136">
        <f t="shared" si="46"/>
        <v>0</v>
      </c>
      <c r="Y131" s="68">
        <f>SUM(S131:V131)</f>
        <v>0</v>
      </c>
      <c r="Z131" s="29">
        <f t="shared" si="39"/>
        <v>0</v>
      </c>
    </row>
    <row r="132" spans="1:26" s="74" customFormat="1" ht="12.75" hidden="1">
      <c r="A132" s="260" t="s">
        <v>162</v>
      </c>
      <c r="B132" s="261"/>
      <c r="C132" s="261"/>
      <c r="D132" s="261"/>
      <c r="E132" s="261"/>
      <c r="F132" s="70"/>
      <c r="G132" s="258" t="s">
        <v>91</v>
      </c>
      <c r="H132" s="259"/>
      <c r="I132" s="259"/>
      <c r="J132" s="259"/>
      <c r="K132" s="259"/>
      <c r="L132" s="259"/>
      <c r="M132" s="259"/>
      <c r="N132" s="259"/>
      <c r="O132" s="259"/>
      <c r="P132" s="259"/>
      <c r="Q132" s="259"/>
      <c r="R132" s="80">
        <f>R133+R139+R141</f>
        <v>0</v>
      </c>
      <c r="S132" s="71">
        <f aca="true" t="shared" si="47" ref="S132:X132">S133+S139+S141</f>
        <v>0</v>
      </c>
      <c r="T132" s="72">
        <f t="shared" si="47"/>
        <v>0</v>
      </c>
      <c r="U132" s="72">
        <f>U133+U139+U141</f>
        <v>0</v>
      </c>
      <c r="V132" s="71">
        <f>V133+V139+V141</f>
        <v>0</v>
      </c>
      <c r="W132" s="139">
        <f t="shared" si="47"/>
        <v>0</v>
      </c>
      <c r="X132" s="138">
        <f t="shared" si="47"/>
        <v>0</v>
      </c>
      <c r="Y132" s="73"/>
      <c r="Z132" s="29">
        <f t="shared" si="39"/>
        <v>0</v>
      </c>
    </row>
    <row r="133" spans="1:26" s="74" customFormat="1" ht="22.5" customHeight="1" hidden="1">
      <c r="A133" s="260" t="s">
        <v>163</v>
      </c>
      <c r="B133" s="261"/>
      <c r="C133" s="261"/>
      <c r="D133" s="261"/>
      <c r="E133" s="261"/>
      <c r="F133" s="70"/>
      <c r="G133" s="258" t="s">
        <v>92</v>
      </c>
      <c r="H133" s="259"/>
      <c r="I133" s="259"/>
      <c r="J133" s="259"/>
      <c r="K133" s="259"/>
      <c r="L133" s="259"/>
      <c r="M133" s="259"/>
      <c r="N133" s="259"/>
      <c r="O133" s="259"/>
      <c r="P133" s="259"/>
      <c r="Q133" s="259"/>
      <c r="R133" s="80">
        <f aca="true" t="shared" si="48" ref="R133:X134">R134</f>
        <v>0</v>
      </c>
      <c r="S133" s="71">
        <f t="shared" si="48"/>
        <v>0</v>
      </c>
      <c r="T133" s="72">
        <f t="shared" si="48"/>
        <v>0</v>
      </c>
      <c r="U133" s="72">
        <f t="shared" si="48"/>
        <v>0</v>
      </c>
      <c r="V133" s="71">
        <f t="shared" si="48"/>
        <v>0</v>
      </c>
      <c r="W133" s="139">
        <f t="shared" si="48"/>
        <v>0</v>
      </c>
      <c r="X133" s="138">
        <f t="shared" si="48"/>
        <v>0</v>
      </c>
      <c r="Y133" s="73"/>
      <c r="Z133" s="29">
        <f t="shared" si="39"/>
        <v>0</v>
      </c>
    </row>
    <row r="134" spans="1:26" ht="48.75" customHeight="1" hidden="1">
      <c r="A134" s="214" t="s">
        <v>306</v>
      </c>
      <c r="B134" s="215"/>
      <c r="C134" s="215"/>
      <c r="D134" s="215"/>
      <c r="E134" s="215"/>
      <c r="F134" s="216"/>
      <c r="G134" s="217" t="s">
        <v>221</v>
      </c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55">
        <f>R135</f>
        <v>0</v>
      </c>
      <c r="S134" s="65">
        <f t="shared" si="48"/>
        <v>0</v>
      </c>
      <c r="T134" s="32">
        <f t="shared" si="48"/>
        <v>0</v>
      </c>
      <c r="U134" s="32">
        <f t="shared" si="48"/>
        <v>0</v>
      </c>
      <c r="V134" s="65">
        <f t="shared" si="48"/>
        <v>0</v>
      </c>
      <c r="W134" s="131">
        <f t="shared" si="48"/>
        <v>0</v>
      </c>
      <c r="X134" s="130">
        <f t="shared" si="48"/>
        <v>0</v>
      </c>
      <c r="Y134" s="29">
        <f>SUM(S134:V134)</f>
        <v>0</v>
      </c>
      <c r="Z134" s="29">
        <f>R134-S134-T134-U134-V134</f>
        <v>0</v>
      </c>
    </row>
    <row r="135" spans="1:26" ht="24" customHeight="1" hidden="1">
      <c r="A135" s="214" t="s">
        <v>307</v>
      </c>
      <c r="B135" s="215"/>
      <c r="C135" s="215"/>
      <c r="D135" s="215"/>
      <c r="E135" s="215"/>
      <c r="F135" s="216"/>
      <c r="G135" s="217" t="s">
        <v>222</v>
      </c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55">
        <f aca="true" t="shared" si="49" ref="R135:X135">R136+R139</f>
        <v>0</v>
      </c>
      <c r="S135" s="65">
        <f t="shared" si="49"/>
        <v>0</v>
      </c>
      <c r="T135" s="32">
        <f t="shared" si="49"/>
        <v>0</v>
      </c>
      <c r="U135" s="32">
        <f t="shared" si="49"/>
        <v>0</v>
      </c>
      <c r="V135" s="65">
        <f t="shared" si="49"/>
        <v>0</v>
      </c>
      <c r="W135" s="131">
        <f t="shared" si="49"/>
        <v>0</v>
      </c>
      <c r="X135" s="130">
        <f t="shared" si="49"/>
        <v>0</v>
      </c>
      <c r="Y135" s="29">
        <f>SUM(S135:V135)</f>
        <v>0</v>
      </c>
      <c r="Z135" s="29">
        <f>R135-S135-T135-U135-V135</f>
        <v>0</v>
      </c>
    </row>
    <row r="136" spans="1:26" ht="12.75" hidden="1">
      <c r="A136" s="214" t="s">
        <v>308</v>
      </c>
      <c r="B136" s="215"/>
      <c r="C136" s="215"/>
      <c r="D136" s="215"/>
      <c r="E136" s="215"/>
      <c r="F136" s="216"/>
      <c r="G136" s="217" t="s">
        <v>225</v>
      </c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55">
        <f aca="true" t="shared" si="50" ref="R136:X136">R137+R138</f>
        <v>0</v>
      </c>
      <c r="S136" s="65">
        <f t="shared" si="50"/>
        <v>0</v>
      </c>
      <c r="T136" s="32">
        <f t="shared" si="50"/>
        <v>0</v>
      </c>
      <c r="U136" s="32">
        <f t="shared" si="50"/>
        <v>0</v>
      </c>
      <c r="V136" s="65">
        <f t="shared" si="50"/>
        <v>0</v>
      </c>
      <c r="W136" s="131">
        <f t="shared" si="50"/>
        <v>0</v>
      </c>
      <c r="X136" s="130">
        <f t="shared" si="50"/>
        <v>0</v>
      </c>
      <c r="Y136" s="29">
        <f>SUM(S136:V136)</f>
        <v>0</v>
      </c>
      <c r="Z136" s="29">
        <f>R136-S136-T136-U136-V136</f>
        <v>0</v>
      </c>
    </row>
    <row r="137" spans="1:26" ht="12.75" hidden="1">
      <c r="A137" s="262" t="s">
        <v>309</v>
      </c>
      <c r="B137" s="263"/>
      <c r="C137" s="263"/>
      <c r="D137" s="263"/>
      <c r="E137" s="263"/>
      <c r="F137" s="264"/>
      <c r="G137" s="217" t="s">
        <v>33</v>
      </c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56">
        <f>SUM(S137:V137)</f>
        <v>0</v>
      </c>
      <c r="S137" s="102">
        <v>0</v>
      </c>
      <c r="T137" s="103">
        <v>0</v>
      </c>
      <c r="U137" s="103">
        <v>0</v>
      </c>
      <c r="V137" s="102">
        <v>0</v>
      </c>
      <c r="W137" s="123">
        <v>0</v>
      </c>
      <c r="X137" s="120">
        <v>0</v>
      </c>
      <c r="Y137" s="29">
        <f>SUM(S137:X137)</f>
        <v>0</v>
      </c>
      <c r="Z137" s="29">
        <f>R137-S137-T137-U137-V137</f>
        <v>0</v>
      </c>
    </row>
    <row r="138" spans="1:26" ht="12.75" hidden="1">
      <c r="A138" s="262" t="s">
        <v>310</v>
      </c>
      <c r="B138" s="263"/>
      <c r="C138" s="263"/>
      <c r="D138" s="263"/>
      <c r="E138" s="263"/>
      <c r="F138" s="264"/>
      <c r="G138" s="217" t="s">
        <v>34</v>
      </c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56">
        <f>SUM(S138:V138)</f>
        <v>0</v>
      </c>
      <c r="S138" s="102">
        <v>0</v>
      </c>
      <c r="T138" s="103">
        <v>0</v>
      </c>
      <c r="U138" s="103">
        <v>0</v>
      </c>
      <c r="V138" s="102">
        <v>0</v>
      </c>
      <c r="W138" s="123">
        <v>0</v>
      </c>
      <c r="X138" s="120">
        <v>0</v>
      </c>
      <c r="Y138" s="29">
        <f>SUM(S138:X138)</f>
        <v>0</v>
      </c>
      <c r="Z138" s="29">
        <f>R138-S138-T138-U138-V138</f>
        <v>0</v>
      </c>
    </row>
    <row r="139" spans="1:26" s="74" customFormat="1" ht="23.25" customHeight="1" hidden="1">
      <c r="A139" s="260" t="s">
        <v>164</v>
      </c>
      <c r="B139" s="261"/>
      <c r="C139" s="261"/>
      <c r="D139" s="261"/>
      <c r="E139" s="261"/>
      <c r="F139" s="70"/>
      <c r="G139" s="258" t="s">
        <v>92</v>
      </c>
      <c r="H139" s="259"/>
      <c r="I139" s="259"/>
      <c r="J139" s="259"/>
      <c r="K139" s="259"/>
      <c r="L139" s="259"/>
      <c r="M139" s="259"/>
      <c r="N139" s="259"/>
      <c r="O139" s="259"/>
      <c r="P139" s="259"/>
      <c r="Q139" s="259"/>
      <c r="R139" s="80">
        <f aca="true" t="shared" si="51" ref="R139:X139">R140</f>
        <v>0</v>
      </c>
      <c r="S139" s="106">
        <f t="shared" si="51"/>
        <v>0</v>
      </c>
      <c r="T139" s="107">
        <f t="shared" si="51"/>
        <v>0</v>
      </c>
      <c r="U139" s="107">
        <f t="shared" si="51"/>
        <v>0</v>
      </c>
      <c r="V139" s="106">
        <f t="shared" si="51"/>
        <v>0</v>
      </c>
      <c r="W139" s="139">
        <f t="shared" si="51"/>
        <v>0</v>
      </c>
      <c r="X139" s="138">
        <f t="shared" si="51"/>
        <v>0</v>
      </c>
      <c r="Y139" s="73"/>
      <c r="Z139" s="29">
        <f t="shared" si="39"/>
        <v>0</v>
      </c>
    </row>
    <row r="140" spans="1:26" s="76" customFormat="1" ht="16.5" customHeight="1" hidden="1">
      <c r="A140" s="262" t="s">
        <v>311</v>
      </c>
      <c r="B140" s="263"/>
      <c r="C140" s="263"/>
      <c r="D140" s="263"/>
      <c r="E140" s="263"/>
      <c r="F140" s="264"/>
      <c r="G140" s="265"/>
      <c r="H140" s="266"/>
      <c r="I140" s="266"/>
      <c r="J140" s="266"/>
      <c r="K140" s="266"/>
      <c r="L140" s="266"/>
      <c r="M140" s="266"/>
      <c r="N140" s="266"/>
      <c r="O140" s="266"/>
      <c r="P140" s="266"/>
      <c r="Q140" s="266"/>
      <c r="R140" s="81">
        <f>SUM(S140:V140)</f>
        <v>0</v>
      </c>
      <c r="S140" s="108">
        <v>0</v>
      </c>
      <c r="T140" s="109">
        <v>0</v>
      </c>
      <c r="U140" s="109">
        <v>0</v>
      </c>
      <c r="V140" s="108">
        <v>0</v>
      </c>
      <c r="W140" s="140">
        <v>0</v>
      </c>
      <c r="X140" s="121">
        <v>0</v>
      </c>
      <c r="Y140" s="75">
        <f>SUM(S140:V140)</f>
        <v>0</v>
      </c>
      <c r="Z140" s="29">
        <f t="shared" si="39"/>
        <v>0</v>
      </c>
    </row>
    <row r="141" spans="1:26" s="74" customFormat="1" ht="23.25" customHeight="1" hidden="1">
      <c r="A141" s="260" t="s">
        <v>124</v>
      </c>
      <c r="B141" s="261"/>
      <c r="C141" s="261"/>
      <c r="D141" s="261"/>
      <c r="E141" s="261"/>
      <c r="F141" s="70"/>
      <c r="G141" s="258" t="s">
        <v>171</v>
      </c>
      <c r="H141" s="259"/>
      <c r="I141" s="259"/>
      <c r="J141" s="259"/>
      <c r="K141" s="259"/>
      <c r="L141" s="259"/>
      <c r="M141" s="259"/>
      <c r="N141" s="259"/>
      <c r="O141" s="259"/>
      <c r="P141" s="259"/>
      <c r="Q141" s="259"/>
      <c r="R141" s="80">
        <f>R142+R147</f>
        <v>0</v>
      </c>
      <c r="S141" s="71">
        <f aca="true" t="shared" si="52" ref="S141:X141">S142+S147</f>
        <v>0</v>
      </c>
      <c r="T141" s="72">
        <f t="shared" si="52"/>
        <v>0</v>
      </c>
      <c r="U141" s="72">
        <f t="shared" si="52"/>
        <v>0</v>
      </c>
      <c r="V141" s="71">
        <f t="shared" si="52"/>
        <v>0</v>
      </c>
      <c r="W141" s="139">
        <f t="shared" si="52"/>
        <v>0</v>
      </c>
      <c r="X141" s="138">
        <f t="shared" si="52"/>
        <v>0</v>
      </c>
      <c r="Y141" s="73"/>
      <c r="Z141" s="29">
        <f t="shared" si="39"/>
        <v>0</v>
      </c>
    </row>
    <row r="142" spans="1:26" ht="48.75" customHeight="1" hidden="1">
      <c r="A142" s="214" t="s">
        <v>312</v>
      </c>
      <c r="B142" s="215"/>
      <c r="C142" s="215"/>
      <c r="D142" s="215"/>
      <c r="E142" s="215"/>
      <c r="F142" s="216"/>
      <c r="G142" s="217" t="s">
        <v>221</v>
      </c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55">
        <f>R143</f>
        <v>0</v>
      </c>
      <c r="S142" s="65">
        <f aca="true" t="shared" si="53" ref="S142:X143">S143</f>
        <v>0</v>
      </c>
      <c r="T142" s="32">
        <f t="shared" si="53"/>
        <v>0</v>
      </c>
      <c r="U142" s="32">
        <f t="shared" si="53"/>
        <v>0</v>
      </c>
      <c r="V142" s="65">
        <f t="shared" si="53"/>
        <v>0</v>
      </c>
      <c r="W142" s="131">
        <f t="shared" si="53"/>
        <v>0</v>
      </c>
      <c r="X142" s="130">
        <f t="shared" si="53"/>
        <v>0</v>
      </c>
      <c r="Y142" s="29">
        <f>SUM(S142:V142)</f>
        <v>0</v>
      </c>
      <c r="Z142" s="29">
        <f>R142-S142-T142-U142-V142</f>
        <v>0</v>
      </c>
    </row>
    <row r="143" spans="1:26" ht="24" customHeight="1" hidden="1">
      <c r="A143" s="214" t="s">
        <v>313</v>
      </c>
      <c r="B143" s="215"/>
      <c r="C143" s="215"/>
      <c r="D143" s="215"/>
      <c r="E143" s="215"/>
      <c r="F143" s="216"/>
      <c r="G143" s="217" t="s">
        <v>222</v>
      </c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55">
        <f>R144</f>
        <v>0</v>
      </c>
      <c r="S143" s="65">
        <f t="shared" si="53"/>
        <v>0</v>
      </c>
      <c r="T143" s="32">
        <f t="shared" si="53"/>
        <v>0</v>
      </c>
      <c r="U143" s="32">
        <f t="shared" si="53"/>
        <v>0</v>
      </c>
      <c r="V143" s="65">
        <f t="shared" si="53"/>
        <v>0</v>
      </c>
      <c r="W143" s="131">
        <f t="shared" si="53"/>
        <v>0</v>
      </c>
      <c r="X143" s="130">
        <f t="shared" si="53"/>
        <v>0</v>
      </c>
      <c r="Y143" s="29">
        <f>SUM(S143:V143)</f>
        <v>0</v>
      </c>
      <c r="Z143" s="29">
        <f>R143-S143-T143-U143-V143</f>
        <v>0</v>
      </c>
    </row>
    <row r="144" spans="1:26" ht="12.75" hidden="1">
      <c r="A144" s="214" t="s">
        <v>314</v>
      </c>
      <c r="B144" s="215"/>
      <c r="C144" s="215"/>
      <c r="D144" s="215"/>
      <c r="E144" s="215"/>
      <c r="F144" s="216"/>
      <c r="G144" s="217" t="s">
        <v>225</v>
      </c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55">
        <f>R145+R146</f>
        <v>0</v>
      </c>
      <c r="S144" s="65">
        <f aca="true" t="shared" si="54" ref="S144:X144">S145+S146</f>
        <v>0</v>
      </c>
      <c r="T144" s="32">
        <f t="shared" si="54"/>
        <v>0</v>
      </c>
      <c r="U144" s="32">
        <f t="shared" si="54"/>
        <v>0</v>
      </c>
      <c r="V144" s="65">
        <f t="shared" si="54"/>
        <v>0</v>
      </c>
      <c r="W144" s="131">
        <f t="shared" si="54"/>
        <v>0</v>
      </c>
      <c r="X144" s="130">
        <f t="shared" si="54"/>
        <v>0</v>
      </c>
      <c r="Y144" s="29">
        <f>SUM(S144:V144)</f>
        <v>0</v>
      </c>
      <c r="Z144" s="29">
        <f>R144-S144-T144-U144-V144</f>
        <v>0</v>
      </c>
    </row>
    <row r="145" spans="1:26" ht="12.75" hidden="1">
      <c r="A145" s="262" t="s">
        <v>169</v>
      </c>
      <c r="B145" s="263"/>
      <c r="C145" s="263"/>
      <c r="D145" s="263"/>
      <c r="E145" s="263"/>
      <c r="F145" s="264"/>
      <c r="G145" s="217" t="s">
        <v>33</v>
      </c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56">
        <f>SUM(S145:V145)</f>
        <v>0</v>
      </c>
      <c r="S145" s="102">
        <v>0</v>
      </c>
      <c r="T145" s="103">
        <v>0</v>
      </c>
      <c r="U145" s="103">
        <v>0</v>
      </c>
      <c r="V145" s="102">
        <v>0</v>
      </c>
      <c r="W145" s="123">
        <v>0</v>
      </c>
      <c r="X145" s="120">
        <v>0</v>
      </c>
      <c r="Y145" s="29">
        <f>SUM(S145:X145)</f>
        <v>0</v>
      </c>
      <c r="Z145" s="29">
        <f t="shared" si="39"/>
        <v>0</v>
      </c>
    </row>
    <row r="146" spans="1:26" ht="12.75" hidden="1">
      <c r="A146" s="262" t="s">
        <v>170</v>
      </c>
      <c r="B146" s="263"/>
      <c r="C146" s="263"/>
      <c r="D146" s="263"/>
      <c r="E146" s="263"/>
      <c r="F146" s="264"/>
      <c r="G146" s="217" t="s">
        <v>34</v>
      </c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56">
        <f>SUM(S146:V146)</f>
        <v>0</v>
      </c>
      <c r="S146" s="102">
        <v>0</v>
      </c>
      <c r="T146" s="103">
        <v>0</v>
      </c>
      <c r="U146" s="103">
        <v>0</v>
      </c>
      <c r="V146" s="102">
        <v>0</v>
      </c>
      <c r="W146" s="123">
        <v>0</v>
      </c>
      <c r="X146" s="120">
        <v>0</v>
      </c>
      <c r="Y146" s="29">
        <f>SUM(S146:X146)</f>
        <v>0</v>
      </c>
      <c r="Z146" s="29">
        <f t="shared" si="39"/>
        <v>0</v>
      </c>
    </row>
    <row r="147" spans="1:26" ht="12.75" hidden="1">
      <c r="A147" s="214" t="s">
        <v>315</v>
      </c>
      <c r="B147" s="215"/>
      <c r="C147" s="215"/>
      <c r="D147" s="215"/>
      <c r="E147" s="215"/>
      <c r="F147" s="216"/>
      <c r="G147" s="217" t="s">
        <v>246</v>
      </c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55">
        <f>R148</f>
        <v>0</v>
      </c>
      <c r="S147" s="65">
        <f aca="true" t="shared" si="55" ref="S147:X148">S148</f>
        <v>0</v>
      </c>
      <c r="T147" s="32">
        <f t="shared" si="55"/>
        <v>0</v>
      </c>
      <c r="U147" s="32">
        <f t="shared" si="55"/>
        <v>0</v>
      </c>
      <c r="V147" s="65">
        <f t="shared" si="55"/>
        <v>0</v>
      </c>
      <c r="W147" s="131">
        <f t="shared" si="55"/>
        <v>0</v>
      </c>
      <c r="X147" s="130">
        <f t="shared" si="55"/>
        <v>0</v>
      </c>
      <c r="Y147" s="29">
        <f>SUM(S147:V147)</f>
        <v>0</v>
      </c>
      <c r="Z147" s="29">
        <f>R147-S147-T147-U147-V147</f>
        <v>0</v>
      </c>
    </row>
    <row r="148" spans="1:26" ht="24" customHeight="1" hidden="1">
      <c r="A148" s="214" t="s">
        <v>316</v>
      </c>
      <c r="B148" s="215"/>
      <c r="C148" s="215"/>
      <c r="D148" s="215"/>
      <c r="E148" s="215"/>
      <c r="F148" s="216"/>
      <c r="G148" s="217" t="s">
        <v>200</v>
      </c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55">
        <f>R149</f>
        <v>0</v>
      </c>
      <c r="S148" s="65">
        <f t="shared" si="55"/>
        <v>0</v>
      </c>
      <c r="T148" s="32">
        <f t="shared" si="55"/>
        <v>0</v>
      </c>
      <c r="U148" s="32">
        <f t="shared" si="55"/>
        <v>0</v>
      </c>
      <c r="V148" s="65">
        <f t="shared" si="55"/>
        <v>0</v>
      </c>
      <c r="W148" s="131">
        <f t="shared" si="55"/>
        <v>0</v>
      </c>
      <c r="X148" s="130">
        <f t="shared" si="55"/>
        <v>0</v>
      </c>
      <c r="Y148" s="29">
        <f>SUM(S148:V148)</f>
        <v>0</v>
      </c>
      <c r="Z148" s="29">
        <f>R148-S148-T148-U148-V148</f>
        <v>0</v>
      </c>
    </row>
    <row r="149" spans="1:26" ht="24" customHeight="1" hidden="1">
      <c r="A149" s="214" t="s">
        <v>317</v>
      </c>
      <c r="B149" s="215"/>
      <c r="C149" s="215"/>
      <c r="D149" s="215"/>
      <c r="E149" s="215"/>
      <c r="F149" s="216"/>
      <c r="G149" s="217" t="s">
        <v>247</v>
      </c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55">
        <f>SUM(R150:R151)</f>
        <v>0</v>
      </c>
      <c r="S149" s="65">
        <f aca="true" t="shared" si="56" ref="S149:X149">SUM(S150:S151)</f>
        <v>0</v>
      </c>
      <c r="T149" s="32">
        <f t="shared" si="56"/>
        <v>0</v>
      </c>
      <c r="U149" s="32">
        <f t="shared" si="56"/>
        <v>0</v>
      </c>
      <c r="V149" s="65">
        <f t="shared" si="56"/>
        <v>0</v>
      </c>
      <c r="W149" s="131">
        <f t="shared" si="56"/>
        <v>0</v>
      </c>
      <c r="X149" s="130">
        <f t="shared" si="56"/>
        <v>0</v>
      </c>
      <c r="Y149" s="29">
        <f>SUM(S149:V149)</f>
        <v>0</v>
      </c>
      <c r="Z149" s="29">
        <f>R149-S149-T149-U149-V149</f>
        <v>0</v>
      </c>
    </row>
    <row r="150" spans="1:26" s="76" customFormat="1" ht="12.75" hidden="1">
      <c r="A150" s="262" t="s">
        <v>318</v>
      </c>
      <c r="B150" s="263"/>
      <c r="C150" s="263"/>
      <c r="D150" s="263"/>
      <c r="E150" s="263"/>
      <c r="F150" s="264"/>
      <c r="G150" s="217" t="s">
        <v>41</v>
      </c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82">
        <f>SUM(S150:V150)</f>
        <v>0</v>
      </c>
      <c r="S150" s="110">
        <v>0</v>
      </c>
      <c r="T150" s="111">
        <v>0</v>
      </c>
      <c r="U150" s="111">
        <v>0</v>
      </c>
      <c r="V150" s="110">
        <v>0</v>
      </c>
      <c r="W150" s="132">
        <v>0</v>
      </c>
      <c r="X150" s="122">
        <v>0</v>
      </c>
      <c r="Y150" s="75">
        <f>SUM(S150:V150)</f>
        <v>0</v>
      </c>
      <c r="Z150" s="29">
        <f t="shared" si="39"/>
        <v>0</v>
      </c>
    </row>
    <row r="151" spans="1:26" s="76" customFormat="1" ht="12.75" hidden="1">
      <c r="A151" s="262" t="s">
        <v>319</v>
      </c>
      <c r="B151" s="263"/>
      <c r="C151" s="263"/>
      <c r="D151" s="263"/>
      <c r="E151" s="263"/>
      <c r="F151" s="264"/>
      <c r="G151" s="217" t="s">
        <v>42</v>
      </c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82">
        <f>SUM(S151:V151)</f>
        <v>0</v>
      </c>
      <c r="S151" s="110">
        <v>0</v>
      </c>
      <c r="T151" s="111">
        <v>0</v>
      </c>
      <c r="U151" s="111">
        <v>0</v>
      </c>
      <c r="V151" s="110">
        <v>0</v>
      </c>
      <c r="W151" s="132">
        <v>0</v>
      </c>
      <c r="X151" s="122">
        <v>0</v>
      </c>
      <c r="Y151" s="75">
        <f>SUM(S151:V151)</f>
        <v>0</v>
      </c>
      <c r="Z151" s="29">
        <f t="shared" si="39"/>
        <v>0</v>
      </c>
    </row>
    <row r="152" spans="1:26" ht="12.75">
      <c r="A152" s="200" t="s">
        <v>188</v>
      </c>
      <c r="B152" s="201"/>
      <c r="C152" s="201"/>
      <c r="D152" s="201"/>
      <c r="E152" s="201"/>
      <c r="F152" s="85"/>
      <c r="G152" s="256" t="s">
        <v>190</v>
      </c>
      <c r="H152" s="257"/>
      <c r="I152" s="257"/>
      <c r="J152" s="257"/>
      <c r="K152" s="257"/>
      <c r="L152" s="257"/>
      <c r="M152" s="257"/>
      <c r="N152" s="257"/>
      <c r="O152" s="257"/>
      <c r="P152" s="257"/>
      <c r="Q152" s="257"/>
      <c r="R152" s="38">
        <f>R153+R162</f>
        <v>8965400</v>
      </c>
      <c r="S152" s="64">
        <f aca="true" t="shared" si="57" ref="S152:X152">S153+S162</f>
        <v>239975</v>
      </c>
      <c r="T152" s="30">
        <f t="shared" si="57"/>
        <v>4242725</v>
      </c>
      <c r="U152" s="30">
        <f t="shared" si="57"/>
        <v>4242725</v>
      </c>
      <c r="V152" s="64">
        <f t="shared" si="57"/>
        <v>239975</v>
      </c>
      <c r="W152" s="141">
        <f t="shared" si="57"/>
        <v>749700</v>
      </c>
      <c r="X152" s="144">
        <f t="shared" si="57"/>
        <v>767600</v>
      </c>
      <c r="Y152" s="75">
        <f aca="true" t="shared" si="58" ref="Y152:Y188">SUM(S152:V152)</f>
        <v>8965400</v>
      </c>
      <c r="Z152" s="29">
        <f t="shared" si="39"/>
        <v>0</v>
      </c>
    </row>
    <row r="153" spans="1:26" ht="12.75">
      <c r="A153" s="205" t="s">
        <v>192</v>
      </c>
      <c r="B153" s="206"/>
      <c r="C153" s="206"/>
      <c r="D153" s="206"/>
      <c r="E153" s="206"/>
      <c r="F153" s="236"/>
      <c r="G153" s="267" t="s">
        <v>191</v>
      </c>
      <c r="H153" s="268"/>
      <c r="I153" s="268"/>
      <c r="J153" s="268"/>
      <c r="K153" s="268"/>
      <c r="L153" s="268"/>
      <c r="M153" s="268"/>
      <c r="N153" s="268"/>
      <c r="O153" s="268"/>
      <c r="P153" s="268"/>
      <c r="Q153" s="269"/>
      <c r="R153" s="53">
        <f>R154</f>
        <v>722900</v>
      </c>
      <c r="S153" s="88">
        <f aca="true" t="shared" si="59" ref="S153:X157">S154</f>
        <v>239975</v>
      </c>
      <c r="T153" s="51">
        <f t="shared" si="59"/>
        <v>121475</v>
      </c>
      <c r="U153" s="51">
        <f t="shared" si="59"/>
        <v>121475</v>
      </c>
      <c r="V153" s="88">
        <f t="shared" si="59"/>
        <v>239975</v>
      </c>
      <c r="W153" s="142">
        <f t="shared" si="59"/>
        <v>749700</v>
      </c>
      <c r="X153" s="145">
        <f t="shared" si="59"/>
        <v>767600</v>
      </c>
      <c r="Y153" s="75">
        <f t="shared" si="58"/>
        <v>722900</v>
      </c>
      <c r="Z153" s="29">
        <f t="shared" si="39"/>
        <v>0</v>
      </c>
    </row>
    <row r="154" spans="1:26" ht="12.75">
      <c r="A154" s="209" t="s">
        <v>193</v>
      </c>
      <c r="B154" s="210"/>
      <c r="C154" s="210"/>
      <c r="D154" s="210"/>
      <c r="E154" s="210"/>
      <c r="F154" s="86"/>
      <c r="G154" s="270" t="s">
        <v>194</v>
      </c>
      <c r="H154" s="271"/>
      <c r="I154" s="271"/>
      <c r="J154" s="271"/>
      <c r="K154" s="271"/>
      <c r="L154" s="271"/>
      <c r="M154" s="271"/>
      <c r="N154" s="271"/>
      <c r="O154" s="271"/>
      <c r="P154" s="271"/>
      <c r="Q154" s="272"/>
      <c r="R154" s="54">
        <f>R155</f>
        <v>722900</v>
      </c>
      <c r="S154" s="90">
        <f t="shared" si="59"/>
        <v>239975</v>
      </c>
      <c r="T154" s="31">
        <f t="shared" si="59"/>
        <v>121475</v>
      </c>
      <c r="U154" s="31">
        <f t="shared" si="59"/>
        <v>121475</v>
      </c>
      <c r="V154" s="90">
        <f t="shared" si="59"/>
        <v>239975</v>
      </c>
      <c r="W154" s="143">
        <f t="shared" si="59"/>
        <v>749700</v>
      </c>
      <c r="X154" s="146">
        <f t="shared" si="59"/>
        <v>767600</v>
      </c>
      <c r="Y154" s="75">
        <f t="shared" si="58"/>
        <v>722900</v>
      </c>
      <c r="Z154" s="29">
        <f t="shared" si="39"/>
        <v>0</v>
      </c>
    </row>
    <row r="155" spans="1:26" ht="12.75">
      <c r="A155" s="214" t="s">
        <v>195</v>
      </c>
      <c r="B155" s="215"/>
      <c r="C155" s="215"/>
      <c r="D155" s="215"/>
      <c r="E155" s="215"/>
      <c r="F155" s="43"/>
      <c r="G155" s="217" t="s">
        <v>196</v>
      </c>
      <c r="H155" s="218"/>
      <c r="I155" s="218"/>
      <c r="J155" s="218"/>
      <c r="K155" s="218"/>
      <c r="L155" s="218"/>
      <c r="M155" s="218"/>
      <c r="N155" s="218"/>
      <c r="O155" s="218"/>
      <c r="P155" s="218"/>
      <c r="Q155" s="273"/>
      <c r="R155" s="55">
        <f>R156</f>
        <v>722900</v>
      </c>
      <c r="S155" s="65">
        <f t="shared" si="59"/>
        <v>239975</v>
      </c>
      <c r="T155" s="32">
        <f t="shared" si="59"/>
        <v>121475</v>
      </c>
      <c r="U155" s="32">
        <f t="shared" si="59"/>
        <v>121475</v>
      </c>
      <c r="V155" s="65">
        <f t="shared" si="59"/>
        <v>239975</v>
      </c>
      <c r="W155" s="131">
        <f t="shared" si="59"/>
        <v>749700</v>
      </c>
      <c r="X155" s="130">
        <f t="shared" si="59"/>
        <v>767600</v>
      </c>
      <c r="Y155" s="75">
        <f t="shared" si="58"/>
        <v>722900</v>
      </c>
      <c r="Z155" s="29">
        <f t="shared" si="39"/>
        <v>0</v>
      </c>
    </row>
    <row r="156" spans="1:26" ht="24" customHeight="1">
      <c r="A156" s="214" t="s">
        <v>197</v>
      </c>
      <c r="B156" s="215"/>
      <c r="C156" s="215"/>
      <c r="D156" s="215"/>
      <c r="E156" s="215"/>
      <c r="F156" s="43"/>
      <c r="G156" s="217" t="s">
        <v>198</v>
      </c>
      <c r="H156" s="218"/>
      <c r="I156" s="218"/>
      <c r="J156" s="218"/>
      <c r="K156" s="218"/>
      <c r="L156" s="218"/>
      <c r="M156" s="218"/>
      <c r="N156" s="218"/>
      <c r="O156" s="218"/>
      <c r="P156" s="218"/>
      <c r="Q156" s="273"/>
      <c r="R156" s="55">
        <f>R157</f>
        <v>722900</v>
      </c>
      <c r="S156" s="65">
        <f t="shared" si="59"/>
        <v>239975</v>
      </c>
      <c r="T156" s="32">
        <f t="shared" si="59"/>
        <v>121475</v>
      </c>
      <c r="U156" s="32">
        <f t="shared" si="59"/>
        <v>121475</v>
      </c>
      <c r="V156" s="65">
        <f t="shared" si="59"/>
        <v>239975</v>
      </c>
      <c r="W156" s="131">
        <f t="shared" si="59"/>
        <v>749700</v>
      </c>
      <c r="X156" s="130">
        <f t="shared" si="59"/>
        <v>767600</v>
      </c>
      <c r="Y156" s="75">
        <f t="shared" si="58"/>
        <v>722900</v>
      </c>
      <c r="Z156" s="29">
        <f t="shared" si="39"/>
        <v>0</v>
      </c>
    </row>
    <row r="157" spans="1:26" s="76" customFormat="1" ht="24" customHeight="1">
      <c r="A157" s="214" t="s">
        <v>199</v>
      </c>
      <c r="B157" s="215"/>
      <c r="C157" s="215"/>
      <c r="D157" s="215"/>
      <c r="E157" s="215"/>
      <c r="F157" s="43"/>
      <c r="G157" s="217" t="s">
        <v>200</v>
      </c>
      <c r="H157" s="218"/>
      <c r="I157" s="218"/>
      <c r="J157" s="218"/>
      <c r="K157" s="218"/>
      <c r="L157" s="218"/>
      <c r="M157" s="218"/>
      <c r="N157" s="218"/>
      <c r="O157" s="218"/>
      <c r="P157" s="218"/>
      <c r="Q157" s="273"/>
      <c r="R157" s="55">
        <f>R158</f>
        <v>722900</v>
      </c>
      <c r="S157" s="65">
        <f t="shared" si="59"/>
        <v>239975</v>
      </c>
      <c r="T157" s="32">
        <f t="shared" si="59"/>
        <v>121475</v>
      </c>
      <c r="U157" s="32">
        <f t="shared" si="59"/>
        <v>121475</v>
      </c>
      <c r="V157" s="65">
        <f t="shared" si="59"/>
        <v>239975</v>
      </c>
      <c r="W157" s="131">
        <f t="shared" si="59"/>
        <v>749700</v>
      </c>
      <c r="X157" s="130">
        <f t="shared" si="59"/>
        <v>767600</v>
      </c>
      <c r="Y157" s="75">
        <f t="shared" si="58"/>
        <v>722900</v>
      </c>
      <c r="Z157" s="29">
        <f t="shared" si="39"/>
        <v>0</v>
      </c>
    </row>
    <row r="158" spans="1:26" s="76" customFormat="1" ht="24" customHeight="1">
      <c r="A158" s="214" t="s">
        <v>201</v>
      </c>
      <c r="B158" s="215"/>
      <c r="C158" s="215"/>
      <c r="D158" s="215"/>
      <c r="E158" s="215"/>
      <c r="F158" s="43"/>
      <c r="G158" s="217" t="s">
        <v>202</v>
      </c>
      <c r="H158" s="218"/>
      <c r="I158" s="218"/>
      <c r="J158" s="218"/>
      <c r="K158" s="218"/>
      <c r="L158" s="218"/>
      <c r="M158" s="218"/>
      <c r="N158" s="218"/>
      <c r="O158" s="218"/>
      <c r="P158" s="218"/>
      <c r="Q158" s="273"/>
      <c r="R158" s="55">
        <f>SUM(R159:R161)</f>
        <v>722900</v>
      </c>
      <c r="S158" s="65">
        <f aca="true" t="shared" si="60" ref="S158:X158">SUM(S159:S161)</f>
        <v>239975</v>
      </c>
      <c r="T158" s="32">
        <f t="shared" si="60"/>
        <v>121475</v>
      </c>
      <c r="U158" s="32">
        <f t="shared" si="60"/>
        <v>121475</v>
      </c>
      <c r="V158" s="65">
        <f t="shared" si="60"/>
        <v>239975</v>
      </c>
      <c r="W158" s="131">
        <f t="shared" si="60"/>
        <v>749700</v>
      </c>
      <c r="X158" s="130">
        <f t="shared" si="60"/>
        <v>767600</v>
      </c>
      <c r="Y158" s="75">
        <f t="shared" si="58"/>
        <v>722900</v>
      </c>
      <c r="Z158" s="29">
        <f t="shared" si="39"/>
        <v>0</v>
      </c>
    </row>
    <row r="159" spans="1:26" s="76" customFormat="1" ht="12.75">
      <c r="A159" s="214" t="s">
        <v>215</v>
      </c>
      <c r="B159" s="215"/>
      <c r="C159" s="215"/>
      <c r="D159" s="215"/>
      <c r="E159" s="215"/>
      <c r="F159" s="43"/>
      <c r="G159" s="217" t="s">
        <v>39</v>
      </c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56">
        <f>S159+T159+U159+V159</f>
        <v>139900</v>
      </c>
      <c r="S159" s="102">
        <f>34975</f>
        <v>34975</v>
      </c>
      <c r="T159" s="103">
        <f>34975</f>
        <v>34975</v>
      </c>
      <c r="U159" s="103">
        <f>34975</f>
        <v>34975</v>
      </c>
      <c r="V159" s="102">
        <f>34975</f>
        <v>34975</v>
      </c>
      <c r="W159" s="123">
        <v>166700</v>
      </c>
      <c r="X159" s="120">
        <v>184600</v>
      </c>
      <c r="Y159" s="75">
        <f t="shared" si="58"/>
        <v>139900</v>
      </c>
      <c r="Z159" s="29">
        <f t="shared" si="39"/>
        <v>0</v>
      </c>
    </row>
    <row r="160" spans="1:26" s="76" customFormat="1" ht="12.75">
      <c r="A160" s="214" t="s">
        <v>216</v>
      </c>
      <c r="B160" s="215"/>
      <c r="C160" s="215"/>
      <c r="D160" s="215"/>
      <c r="E160" s="215"/>
      <c r="F160" s="43"/>
      <c r="G160" s="217" t="s">
        <v>41</v>
      </c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56">
        <f>S160+T160+U160+V160</f>
        <v>563000</v>
      </c>
      <c r="S160" s="102">
        <f>200000</f>
        <v>200000</v>
      </c>
      <c r="T160" s="103">
        <f>81500</f>
        <v>81500</v>
      </c>
      <c r="U160" s="103">
        <f>81500</f>
        <v>81500</v>
      </c>
      <c r="V160" s="102">
        <f>200000</f>
        <v>200000</v>
      </c>
      <c r="W160" s="123">
        <v>563000</v>
      </c>
      <c r="X160" s="120">
        <v>563000</v>
      </c>
      <c r="Y160" s="75">
        <f t="shared" si="58"/>
        <v>563000</v>
      </c>
      <c r="Z160" s="29">
        <f t="shared" si="39"/>
        <v>0</v>
      </c>
    </row>
    <row r="161" spans="1:26" s="76" customFormat="1" ht="12.75">
      <c r="A161" s="214" t="s">
        <v>217</v>
      </c>
      <c r="B161" s="215"/>
      <c r="C161" s="215"/>
      <c r="D161" s="215"/>
      <c r="E161" s="215"/>
      <c r="F161" s="43"/>
      <c r="G161" s="217" t="s">
        <v>42</v>
      </c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56">
        <f>S161+T161+U161+V161</f>
        <v>20000</v>
      </c>
      <c r="S161" s="102">
        <f>5000</f>
        <v>5000</v>
      </c>
      <c r="T161" s="103">
        <f>5000</f>
        <v>5000</v>
      </c>
      <c r="U161" s="103">
        <f>5000</f>
        <v>5000</v>
      </c>
      <c r="V161" s="102">
        <f>5000</f>
        <v>5000</v>
      </c>
      <c r="W161" s="123">
        <v>20000</v>
      </c>
      <c r="X161" s="120">
        <v>20000</v>
      </c>
      <c r="Y161" s="75">
        <f t="shared" si="58"/>
        <v>20000</v>
      </c>
      <c r="Z161" s="29">
        <f t="shared" si="39"/>
        <v>0</v>
      </c>
    </row>
    <row r="162" spans="1:26" s="76" customFormat="1" ht="16.5" customHeight="1">
      <c r="A162" s="205" t="s">
        <v>203</v>
      </c>
      <c r="B162" s="206"/>
      <c r="C162" s="206"/>
      <c r="D162" s="206"/>
      <c r="E162" s="206"/>
      <c r="F162" s="47"/>
      <c r="G162" s="207" t="s">
        <v>183</v>
      </c>
      <c r="H162" s="208"/>
      <c r="I162" s="208"/>
      <c r="J162" s="208"/>
      <c r="K162" s="208"/>
      <c r="L162" s="208"/>
      <c r="M162" s="208"/>
      <c r="N162" s="208"/>
      <c r="O162" s="208"/>
      <c r="P162" s="208"/>
      <c r="Q162" s="274"/>
      <c r="R162" s="53">
        <f aca="true" t="shared" si="61" ref="R162:R167">R163</f>
        <v>8242500</v>
      </c>
      <c r="S162" s="88">
        <f aca="true" t="shared" si="62" ref="S162:X167">S163</f>
        <v>0</v>
      </c>
      <c r="T162" s="51">
        <f t="shared" si="62"/>
        <v>4121250</v>
      </c>
      <c r="U162" s="51">
        <f t="shared" si="62"/>
        <v>4121250</v>
      </c>
      <c r="V162" s="88">
        <f t="shared" si="62"/>
        <v>0</v>
      </c>
      <c r="W162" s="142">
        <f t="shared" si="62"/>
        <v>0</v>
      </c>
      <c r="X162" s="145">
        <f t="shared" si="62"/>
        <v>0</v>
      </c>
      <c r="Y162" s="75">
        <f t="shared" si="58"/>
        <v>8242500</v>
      </c>
      <c r="Z162" s="29">
        <f t="shared" si="39"/>
        <v>0</v>
      </c>
    </row>
    <row r="163" spans="1:26" s="76" customFormat="1" ht="24" customHeight="1">
      <c r="A163" s="209" t="s">
        <v>204</v>
      </c>
      <c r="B163" s="210"/>
      <c r="C163" s="210"/>
      <c r="D163" s="210"/>
      <c r="E163" s="210"/>
      <c r="F163" s="86"/>
      <c r="G163" s="212" t="s">
        <v>205</v>
      </c>
      <c r="H163" s="213"/>
      <c r="I163" s="213"/>
      <c r="J163" s="213"/>
      <c r="K163" s="213"/>
      <c r="L163" s="213"/>
      <c r="M163" s="213"/>
      <c r="N163" s="213"/>
      <c r="O163" s="213"/>
      <c r="P163" s="213"/>
      <c r="Q163" s="275"/>
      <c r="R163" s="54">
        <f t="shared" si="61"/>
        <v>8242500</v>
      </c>
      <c r="S163" s="90">
        <f t="shared" si="62"/>
        <v>0</v>
      </c>
      <c r="T163" s="31">
        <f t="shared" si="62"/>
        <v>4121250</v>
      </c>
      <c r="U163" s="31">
        <f t="shared" si="62"/>
        <v>4121250</v>
      </c>
      <c r="V163" s="90">
        <f t="shared" si="62"/>
        <v>0</v>
      </c>
      <c r="W163" s="54">
        <f t="shared" si="62"/>
        <v>0</v>
      </c>
      <c r="X163" s="116">
        <f t="shared" si="62"/>
        <v>0</v>
      </c>
      <c r="Y163" s="75">
        <f t="shared" si="58"/>
        <v>8242500</v>
      </c>
      <c r="Z163" s="29">
        <f t="shared" si="39"/>
        <v>0</v>
      </c>
    </row>
    <row r="164" spans="1:26" s="76" customFormat="1" ht="12.75">
      <c r="A164" s="214" t="s">
        <v>206</v>
      </c>
      <c r="B164" s="215"/>
      <c r="C164" s="215"/>
      <c r="D164" s="215"/>
      <c r="E164" s="215"/>
      <c r="F164" s="43"/>
      <c r="G164" s="217" t="s">
        <v>207</v>
      </c>
      <c r="H164" s="218"/>
      <c r="I164" s="218"/>
      <c r="J164" s="218"/>
      <c r="K164" s="218"/>
      <c r="L164" s="218"/>
      <c r="M164" s="218"/>
      <c r="N164" s="218"/>
      <c r="O164" s="218"/>
      <c r="P164" s="218"/>
      <c r="Q164" s="273"/>
      <c r="R164" s="55">
        <f t="shared" si="61"/>
        <v>8242500</v>
      </c>
      <c r="S164" s="65">
        <f t="shared" si="62"/>
        <v>0</v>
      </c>
      <c r="T164" s="32">
        <f t="shared" si="62"/>
        <v>4121250</v>
      </c>
      <c r="U164" s="32">
        <f t="shared" si="62"/>
        <v>4121250</v>
      </c>
      <c r="V164" s="65">
        <f t="shared" si="62"/>
        <v>0</v>
      </c>
      <c r="W164" s="55">
        <f t="shared" si="62"/>
        <v>0</v>
      </c>
      <c r="X164" s="117">
        <f t="shared" si="62"/>
        <v>0</v>
      </c>
      <c r="Y164" s="75">
        <f t="shared" si="58"/>
        <v>8242500</v>
      </c>
      <c r="Z164" s="29">
        <f t="shared" si="39"/>
        <v>0</v>
      </c>
    </row>
    <row r="165" spans="1:26" s="76" customFormat="1" ht="12.75">
      <c r="A165" s="214" t="s">
        <v>209</v>
      </c>
      <c r="B165" s="215"/>
      <c r="C165" s="215"/>
      <c r="D165" s="215"/>
      <c r="E165" s="215"/>
      <c r="F165" s="43"/>
      <c r="G165" s="217" t="s">
        <v>208</v>
      </c>
      <c r="H165" s="218"/>
      <c r="I165" s="218"/>
      <c r="J165" s="218"/>
      <c r="K165" s="218"/>
      <c r="L165" s="218"/>
      <c r="M165" s="218"/>
      <c r="N165" s="218"/>
      <c r="O165" s="218"/>
      <c r="P165" s="218"/>
      <c r="Q165" s="273"/>
      <c r="R165" s="55">
        <f t="shared" si="61"/>
        <v>8242500</v>
      </c>
      <c r="S165" s="65">
        <f t="shared" si="62"/>
        <v>0</v>
      </c>
      <c r="T165" s="32">
        <f t="shared" si="62"/>
        <v>4121250</v>
      </c>
      <c r="U165" s="32">
        <f t="shared" si="62"/>
        <v>4121250</v>
      </c>
      <c r="V165" s="65">
        <f t="shared" si="62"/>
        <v>0</v>
      </c>
      <c r="W165" s="55">
        <f t="shared" si="62"/>
        <v>0</v>
      </c>
      <c r="X165" s="117">
        <f t="shared" si="62"/>
        <v>0</v>
      </c>
      <c r="Y165" s="75">
        <f t="shared" si="58"/>
        <v>8242500</v>
      </c>
      <c r="Z165" s="29">
        <f t="shared" si="39"/>
        <v>0</v>
      </c>
    </row>
    <row r="166" spans="1:26" s="76" customFormat="1" ht="12.75">
      <c r="A166" s="214" t="s">
        <v>210</v>
      </c>
      <c r="B166" s="215"/>
      <c r="C166" s="215"/>
      <c r="D166" s="215"/>
      <c r="E166" s="215"/>
      <c r="F166" s="43"/>
      <c r="G166" s="217" t="s">
        <v>211</v>
      </c>
      <c r="H166" s="218"/>
      <c r="I166" s="218"/>
      <c r="J166" s="218"/>
      <c r="K166" s="218"/>
      <c r="L166" s="218"/>
      <c r="M166" s="218"/>
      <c r="N166" s="218"/>
      <c r="O166" s="218"/>
      <c r="P166" s="218"/>
      <c r="Q166" s="273"/>
      <c r="R166" s="55">
        <f t="shared" si="61"/>
        <v>8242500</v>
      </c>
      <c r="S166" s="65">
        <f t="shared" si="62"/>
        <v>0</v>
      </c>
      <c r="T166" s="32">
        <f t="shared" si="62"/>
        <v>4121250</v>
      </c>
      <c r="U166" s="32">
        <f t="shared" si="62"/>
        <v>4121250</v>
      </c>
      <c r="V166" s="65">
        <f t="shared" si="62"/>
        <v>0</v>
      </c>
      <c r="W166" s="55">
        <f t="shared" si="62"/>
        <v>0</v>
      </c>
      <c r="X166" s="117">
        <f t="shared" si="62"/>
        <v>0</v>
      </c>
      <c r="Y166" s="75">
        <f t="shared" si="58"/>
        <v>8242500</v>
      </c>
      <c r="Z166" s="29">
        <f t="shared" si="39"/>
        <v>0</v>
      </c>
    </row>
    <row r="167" spans="1:26" s="76" customFormat="1" ht="35.25" customHeight="1">
      <c r="A167" s="214" t="s">
        <v>212</v>
      </c>
      <c r="B167" s="215"/>
      <c r="C167" s="215"/>
      <c r="D167" s="215"/>
      <c r="E167" s="215"/>
      <c r="F167" s="43"/>
      <c r="G167" s="217" t="s">
        <v>213</v>
      </c>
      <c r="H167" s="218"/>
      <c r="I167" s="218"/>
      <c r="J167" s="218"/>
      <c r="K167" s="218"/>
      <c r="L167" s="218"/>
      <c r="M167" s="218"/>
      <c r="N167" s="218"/>
      <c r="O167" s="218"/>
      <c r="P167" s="218"/>
      <c r="Q167" s="273"/>
      <c r="R167" s="55">
        <f t="shared" si="61"/>
        <v>8242500</v>
      </c>
      <c r="S167" s="65">
        <f t="shared" si="62"/>
        <v>0</v>
      </c>
      <c r="T167" s="32">
        <f t="shared" si="62"/>
        <v>4121250</v>
      </c>
      <c r="U167" s="32">
        <f t="shared" si="62"/>
        <v>4121250</v>
      </c>
      <c r="V167" s="65">
        <f t="shared" si="62"/>
        <v>0</v>
      </c>
      <c r="W167" s="131">
        <f t="shared" si="62"/>
        <v>0</v>
      </c>
      <c r="X167" s="130">
        <f t="shared" si="62"/>
        <v>0</v>
      </c>
      <c r="Y167" s="75">
        <f t="shared" si="58"/>
        <v>8242500</v>
      </c>
      <c r="Z167" s="29">
        <f t="shared" si="39"/>
        <v>0</v>
      </c>
    </row>
    <row r="168" spans="1:26" s="76" customFormat="1" ht="12.75">
      <c r="A168" s="214" t="s">
        <v>214</v>
      </c>
      <c r="B168" s="215"/>
      <c r="C168" s="215"/>
      <c r="D168" s="215"/>
      <c r="E168" s="215"/>
      <c r="F168" s="43"/>
      <c r="G168" s="217" t="s">
        <v>41</v>
      </c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56">
        <f>S168+T168+U168+V168</f>
        <v>8242500</v>
      </c>
      <c r="S168" s="102">
        <v>0</v>
      </c>
      <c r="T168" s="103">
        <v>4121250</v>
      </c>
      <c r="U168" s="103">
        <v>4121250</v>
      </c>
      <c r="V168" s="102">
        <v>0</v>
      </c>
      <c r="W168" s="123">
        <v>0</v>
      </c>
      <c r="X168" s="120">
        <v>0</v>
      </c>
      <c r="Y168" s="75">
        <f t="shared" si="58"/>
        <v>8242500</v>
      </c>
      <c r="Z168" s="29">
        <f t="shared" si="39"/>
        <v>0</v>
      </c>
    </row>
    <row r="169" spans="1:26" ht="12.75">
      <c r="A169" s="200" t="s">
        <v>147</v>
      </c>
      <c r="B169" s="201"/>
      <c r="C169" s="201"/>
      <c r="D169" s="201"/>
      <c r="E169" s="201"/>
      <c r="F169" s="85"/>
      <c r="G169" s="249" t="s">
        <v>189</v>
      </c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  <c r="R169" s="38">
        <f>R170</f>
        <v>230300</v>
      </c>
      <c r="S169" s="64">
        <f aca="true" t="shared" si="63" ref="S169:X172">S170</f>
        <v>57575</v>
      </c>
      <c r="T169" s="30">
        <f t="shared" si="63"/>
        <v>57575</v>
      </c>
      <c r="U169" s="30">
        <f t="shared" si="63"/>
        <v>57575</v>
      </c>
      <c r="V169" s="64">
        <f t="shared" si="63"/>
        <v>57575</v>
      </c>
      <c r="W169" s="38">
        <f t="shared" si="63"/>
        <v>238800</v>
      </c>
      <c r="X169" s="114">
        <f t="shared" si="63"/>
        <v>244500</v>
      </c>
      <c r="Y169" s="75">
        <f t="shared" si="58"/>
        <v>230300</v>
      </c>
      <c r="Z169" s="29">
        <f t="shared" si="39"/>
        <v>0</v>
      </c>
    </row>
    <row r="170" spans="1:26" ht="12.75">
      <c r="A170" s="205" t="s">
        <v>148</v>
      </c>
      <c r="B170" s="206"/>
      <c r="C170" s="206"/>
      <c r="D170" s="206"/>
      <c r="E170" s="206"/>
      <c r="F170" s="236"/>
      <c r="G170" s="267" t="s">
        <v>151</v>
      </c>
      <c r="H170" s="268"/>
      <c r="I170" s="268"/>
      <c r="J170" s="268"/>
      <c r="K170" s="268"/>
      <c r="L170" s="268"/>
      <c r="M170" s="268"/>
      <c r="N170" s="268"/>
      <c r="O170" s="268"/>
      <c r="P170" s="268"/>
      <c r="Q170" s="269"/>
      <c r="R170" s="53">
        <f>R171</f>
        <v>230300</v>
      </c>
      <c r="S170" s="88">
        <f t="shared" si="63"/>
        <v>57575</v>
      </c>
      <c r="T170" s="51">
        <f t="shared" si="63"/>
        <v>57575</v>
      </c>
      <c r="U170" s="51">
        <f t="shared" si="63"/>
        <v>57575</v>
      </c>
      <c r="V170" s="88">
        <f t="shared" si="63"/>
        <v>57575</v>
      </c>
      <c r="W170" s="53">
        <f t="shared" si="63"/>
        <v>238800</v>
      </c>
      <c r="X170" s="115">
        <f t="shared" si="63"/>
        <v>244500</v>
      </c>
      <c r="Y170" s="75">
        <f t="shared" si="58"/>
        <v>230300</v>
      </c>
      <c r="Z170" s="29">
        <f t="shared" si="39"/>
        <v>0</v>
      </c>
    </row>
    <row r="171" spans="1:26" ht="24" customHeight="1">
      <c r="A171" s="209" t="s">
        <v>149</v>
      </c>
      <c r="B171" s="210"/>
      <c r="C171" s="210"/>
      <c r="D171" s="210"/>
      <c r="E171" s="210"/>
      <c r="F171" s="86"/>
      <c r="G171" s="251" t="s">
        <v>150</v>
      </c>
      <c r="H171" s="252"/>
      <c r="I171" s="252"/>
      <c r="J171" s="252"/>
      <c r="K171" s="252"/>
      <c r="L171" s="252"/>
      <c r="M171" s="252"/>
      <c r="N171" s="252"/>
      <c r="O171" s="252"/>
      <c r="P171" s="252"/>
      <c r="Q171" s="252"/>
      <c r="R171" s="54">
        <f>R172</f>
        <v>230300</v>
      </c>
      <c r="S171" s="90">
        <f t="shared" si="63"/>
        <v>57575</v>
      </c>
      <c r="T171" s="31">
        <f t="shared" si="63"/>
        <v>57575</v>
      </c>
      <c r="U171" s="31">
        <f t="shared" si="63"/>
        <v>57575</v>
      </c>
      <c r="V171" s="90">
        <f t="shared" si="63"/>
        <v>57575</v>
      </c>
      <c r="W171" s="54">
        <f t="shared" si="63"/>
        <v>238800</v>
      </c>
      <c r="X171" s="116">
        <f t="shared" si="63"/>
        <v>244500</v>
      </c>
      <c r="Y171" s="75">
        <f t="shared" si="58"/>
        <v>230300</v>
      </c>
      <c r="Z171" s="29">
        <f t="shared" si="39"/>
        <v>0</v>
      </c>
    </row>
    <row r="172" spans="1:26" ht="24" customHeight="1">
      <c r="A172" s="214" t="s">
        <v>320</v>
      </c>
      <c r="B172" s="215"/>
      <c r="C172" s="215"/>
      <c r="D172" s="215"/>
      <c r="E172" s="215"/>
      <c r="F172" s="43"/>
      <c r="G172" s="217" t="s">
        <v>198</v>
      </c>
      <c r="H172" s="218"/>
      <c r="I172" s="218"/>
      <c r="J172" s="218"/>
      <c r="K172" s="218"/>
      <c r="L172" s="218"/>
      <c r="M172" s="218"/>
      <c r="N172" s="218"/>
      <c r="O172" s="218"/>
      <c r="P172" s="218"/>
      <c r="Q172" s="273"/>
      <c r="R172" s="55">
        <f>R173</f>
        <v>230300</v>
      </c>
      <c r="S172" s="65">
        <f t="shared" si="63"/>
        <v>57575</v>
      </c>
      <c r="T172" s="32">
        <f t="shared" si="63"/>
        <v>57575</v>
      </c>
      <c r="U172" s="32">
        <f t="shared" si="63"/>
        <v>57575</v>
      </c>
      <c r="V172" s="65">
        <f t="shared" si="63"/>
        <v>57575</v>
      </c>
      <c r="W172" s="55">
        <f t="shared" si="63"/>
        <v>238800</v>
      </c>
      <c r="X172" s="117">
        <f t="shared" si="63"/>
        <v>244500</v>
      </c>
      <c r="Y172" s="75">
        <f aca="true" t="shared" si="64" ref="Y172:Y177">SUM(S172:V172)</f>
        <v>230300</v>
      </c>
      <c r="Z172" s="29">
        <f aca="true" t="shared" si="65" ref="Z172:Z177">R172-S172-T172-U172-V172</f>
        <v>0</v>
      </c>
    </row>
    <row r="173" spans="1:26" s="76" customFormat="1" ht="24" customHeight="1">
      <c r="A173" s="214" t="s">
        <v>321</v>
      </c>
      <c r="B173" s="215"/>
      <c r="C173" s="215"/>
      <c r="D173" s="215"/>
      <c r="E173" s="215"/>
      <c r="F173" s="43"/>
      <c r="G173" s="217" t="s">
        <v>200</v>
      </c>
      <c r="H173" s="218"/>
      <c r="I173" s="218"/>
      <c r="J173" s="218"/>
      <c r="K173" s="218"/>
      <c r="L173" s="218"/>
      <c r="M173" s="218"/>
      <c r="N173" s="218"/>
      <c r="O173" s="218"/>
      <c r="P173" s="218"/>
      <c r="Q173" s="273"/>
      <c r="R173" s="55">
        <f>R174+R177</f>
        <v>230300</v>
      </c>
      <c r="S173" s="65">
        <f aca="true" t="shared" si="66" ref="S173:X173">S174+S177</f>
        <v>57575</v>
      </c>
      <c r="T173" s="32">
        <f t="shared" si="66"/>
        <v>57575</v>
      </c>
      <c r="U173" s="32">
        <f t="shared" si="66"/>
        <v>57575</v>
      </c>
      <c r="V173" s="65">
        <f t="shared" si="66"/>
        <v>57575</v>
      </c>
      <c r="W173" s="55">
        <f t="shared" si="66"/>
        <v>238800</v>
      </c>
      <c r="X173" s="117">
        <f t="shared" si="66"/>
        <v>244500</v>
      </c>
      <c r="Y173" s="75">
        <f t="shared" si="64"/>
        <v>230300</v>
      </c>
      <c r="Z173" s="29">
        <f t="shared" si="65"/>
        <v>0</v>
      </c>
    </row>
    <row r="174" spans="1:26" s="76" customFormat="1" ht="24" customHeight="1">
      <c r="A174" s="214" t="s">
        <v>324</v>
      </c>
      <c r="B174" s="215"/>
      <c r="C174" s="215"/>
      <c r="D174" s="215"/>
      <c r="E174" s="215"/>
      <c r="F174" s="43"/>
      <c r="G174" s="217" t="s">
        <v>327</v>
      </c>
      <c r="H174" s="218"/>
      <c r="I174" s="218"/>
      <c r="J174" s="218"/>
      <c r="K174" s="218"/>
      <c r="L174" s="218"/>
      <c r="M174" s="218"/>
      <c r="N174" s="218"/>
      <c r="O174" s="218"/>
      <c r="P174" s="218"/>
      <c r="Q174" s="273"/>
      <c r="R174" s="55">
        <f>R175+R176</f>
        <v>150300</v>
      </c>
      <c r="S174" s="65">
        <f aca="true" t="shared" si="67" ref="S174:X174">S175+S176</f>
        <v>37575</v>
      </c>
      <c r="T174" s="32">
        <f t="shared" si="67"/>
        <v>37575</v>
      </c>
      <c r="U174" s="32">
        <f t="shared" si="67"/>
        <v>37575</v>
      </c>
      <c r="V174" s="65">
        <f t="shared" si="67"/>
        <v>37575</v>
      </c>
      <c r="W174" s="55">
        <f t="shared" si="67"/>
        <v>158800</v>
      </c>
      <c r="X174" s="117">
        <f t="shared" si="67"/>
        <v>159500</v>
      </c>
      <c r="Y174" s="75">
        <f t="shared" si="64"/>
        <v>150300</v>
      </c>
      <c r="Z174" s="29">
        <f t="shared" si="65"/>
        <v>0</v>
      </c>
    </row>
    <row r="175" spans="1:26" ht="12.75">
      <c r="A175" s="214" t="s">
        <v>325</v>
      </c>
      <c r="B175" s="215"/>
      <c r="C175" s="215"/>
      <c r="D175" s="215"/>
      <c r="E175" s="215"/>
      <c r="F175" s="43"/>
      <c r="G175" s="217" t="s">
        <v>42</v>
      </c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56">
        <f>S175+T175+U175+V175</f>
        <v>146300</v>
      </c>
      <c r="S175" s="102">
        <f>36575</f>
        <v>36575</v>
      </c>
      <c r="T175" s="103">
        <f>36575</f>
        <v>36575</v>
      </c>
      <c r="U175" s="103">
        <f>36575</f>
        <v>36575</v>
      </c>
      <c r="V175" s="102">
        <f>36575</f>
        <v>36575</v>
      </c>
      <c r="W175" s="123">
        <v>154800</v>
      </c>
      <c r="X175" s="120">
        <v>155500</v>
      </c>
      <c r="Y175" s="75">
        <f t="shared" si="64"/>
        <v>146300</v>
      </c>
      <c r="Z175" s="29">
        <f>R175-S175-T175-U175-V175</f>
        <v>0</v>
      </c>
    </row>
    <row r="176" spans="1:26" ht="12.75">
      <c r="A176" s="214" t="s">
        <v>326</v>
      </c>
      <c r="B176" s="215"/>
      <c r="C176" s="215"/>
      <c r="D176" s="215"/>
      <c r="E176" s="215"/>
      <c r="F176" s="43"/>
      <c r="G176" s="217" t="s">
        <v>71</v>
      </c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56">
        <f>S176+T176+U176+V176</f>
        <v>4000</v>
      </c>
      <c r="S176" s="102">
        <f>1000</f>
        <v>1000</v>
      </c>
      <c r="T176" s="103">
        <f>1000</f>
        <v>1000</v>
      </c>
      <c r="U176" s="103">
        <f>1000</f>
        <v>1000</v>
      </c>
      <c r="V176" s="102">
        <f>1000</f>
        <v>1000</v>
      </c>
      <c r="W176" s="123">
        <v>4000</v>
      </c>
      <c r="X176" s="120">
        <v>4000</v>
      </c>
      <c r="Y176" s="75">
        <f t="shared" si="64"/>
        <v>4000</v>
      </c>
      <c r="Z176" s="29">
        <f>R176-S176-T176-U176-V176</f>
        <v>0</v>
      </c>
    </row>
    <row r="177" spans="1:26" s="76" customFormat="1" ht="24" customHeight="1">
      <c r="A177" s="214" t="s">
        <v>322</v>
      </c>
      <c r="B177" s="215"/>
      <c r="C177" s="215"/>
      <c r="D177" s="215"/>
      <c r="E177" s="215"/>
      <c r="F177" s="43"/>
      <c r="G177" s="217" t="s">
        <v>202</v>
      </c>
      <c r="H177" s="218"/>
      <c r="I177" s="218"/>
      <c r="J177" s="218"/>
      <c r="K177" s="218"/>
      <c r="L177" s="218"/>
      <c r="M177" s="218"/>
      <c r="N177" s="218"/>
      <c r="O177" s="218"/>
      <c r="P177" s="218"/>
      <c r="Q177" s="273"/>
      <c r="R177" s="55">
        <f>R178</f>
        <v>80000</v>
      </c>
      <c r="S177" s="65">
        <f aca="true" t="shared" si="68" ref="S177:X177">S178</f>
        <v>20000</v>
      </c>
      <c r="T177" s="32">
        <f t="shared" si="68"/>
        <v>20000</v>
      </c>
      <c r="U177" s="32">
        <f t="shared" si="68"/>
        <v>20000</v>
      </c>
      <c r="V177" s="65">
        <f t="shared" si="68"/>
        <v>20000</v>
      </c>
      <c r="W177" s="131">
        <f t="shared" si="68"/>
        <v>80000</v>
      </c>
      <c r="X177" s="130">
        <f t="shared" si="68"/>
        <v>85000</v>
      </c>
      <c r="Y177" s="75">
        <f t="shared" si="64"/>
        <v>80000</v>
      </c>
      <c r="Z177" s="29">
        <f t="shared" si="65"/>
        <v>0</v>
      </c>
    </row>
    <row r="178" spans="1:26" ht="12.75">
      <c r="A178" s="214" t="s">
        <v>323</v>
      </c>
      <c r="B178" s="215"/>
      <c r="C178" s="215"/>
      <c r="D178" s="215"/>
      <c r="E178" s="215"/>
      <c r="F178" s="43"/>
      <c r="G178" s="217" t="s">
        <v>38</v>
      </c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56">
        <f>S178+T178+U178+V178</f>
        <v>80000</v>
      </c>
      <c r="S178" s="102">
        <f>20000</f>
        <v>20000</v>
      </c>
      <c r="T178" s="103">
        <f>20000</f>
        <v>20000</v>
      </c>
      <c r="U178" s="103">
        <f>20000</f>
        <v>20000</v>
      </c>
      <c r="V178" s="102">
        <f>20000</f>
        <v>20000</v>
      </c>
      <c r="W178" s="123">
        <v>80000</v>
      </c>
      <c r="X178" s="120">
        <v>85000</v>
      </c>
      <c r="Y178" s="75">
        <f t="shared" si="58"/>
        <v>80000</v>
      </c>
      <c r="Z178" s="29">
        <f t="shared" si="39"/>
        <v>0</v>
      </c>
    </row>
    <row r="179" spans="1:26" ht="16.5" customHeight="1" hidden="1">
      <c r="A179" s="200" t="s">
        <v>179</v>
      </c>
      <c r="B179" s="201"/>
      <c r="C179" s="201"/>
      <c r="D179" s="201"/>
      <c r="E179" s="201"/>
      <c r="F179" s="85"/>
      <c r="G179" s="249" t="s">
        <v>182</v>
      </c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  <c r="R179" s="38">
        <f aca="true" t="shared" si="69" ref="R179:X181">R180</f>
        <v>0</v>
      </c>
      <c r="S179" s="64">
        <f t="shared" si="69"/>
        <v>0</v>
      </c>
      <c r="T179" s="30">
        <f t="shared" si="69"/>
        <v>0</v>
      </c>
      <c r="U179" s="30">
        <f t="shared" si="69"/>
        <v>0</v>
      </c>
      <c r="V179" s="64">
        <f t="shared" si="69"/>
        <v>0</v>
      </c>
      <c r="W179" s="38">
        <f t="shared" si="69"/>
        <v>0</v>
      </c>
      <c r="X179" s="114">
        <f t="shared" si="69"/>
        <v>0</v>
      </c>
      <c r="Y179" s="75">
        <f t="shared" si="58"/>
        <v>0</v>
      </c>
      <c r="Z179" s="29">
        <f aca="true" t="shared" si="70" ref="Z179:Z185">R179-S179-T179-U179-V179</f>
        <v>0</v>
      </c>
    </row>
    <row r="180" spans="1:26" ht="19.5" customHeight="1" hidden="1">
      <c r="A180" s="205" t="s">
        <v>180</v>
      </c>
      <c r="B180" s="206"/>
      <c r="C180" s="206"/>
      <c r="D180" s="206"/>
      <c r="E180" s="206"/>
      <c r="F180" s="236"/>
      <c r="G180" s="247" t="s">
        <v>183</v>
      </c>
      <c r="H180" s="248"/>
      <c r="I180" s="248"/>
      <c r="J180" s="248"/>
      <c r="K180" s="248"/>
      <c r="L180" s="248"/>
      <c r="M180" s="248"/>
      <c r="N180" s="248"/>
      <c r="O180" s="248"/>
      <c r="P180" s="248"/>
      <c r="Q180" s="248"/>
      <c r="R180" s="53">
        <f t="shared" si="69"/>
        <v>0</v>
      </c>
      <c r="S180" s="88">
        <f t="shared" si="69"/>
        <v>0</v>
      </c>
      <c r="T180" s="51">
        <f t="shared" si="69"/>
        <v>0</v>
      </c>
      <c r="U180" s="51">
        <f t="shared" si="69"/>
        <v>0</v>
      </c>
      <c r="V180" s="88">
        <f t="shared" si="69"/>
        <v>0</v>
      </c>
      <c r="W180" s="53">
        <f t="shared" si="69"/>
        <v>0</v>
      </c>
      <c r="X180" s="115">
        <f t="shared" si="69"/>
        <v>0</v>
      </c>
      <c r="Y180" s="75">
        <f t="shared" si="58"/>
        <v>0</v>
      </c>
      <c r="Z180" s="29">
        <f t="shared" si="70"/>
        <v>0</v>
      </c>
    </row>
    <row r="181" spans="1:26" ht="39" customHeight="1" hidden="1">
      <c r="A181" s="209" t="s">
        <v>181</v>
      </c>
      <c r="B181" s="210"/>
      <c r="C181" s="210"/>
      <c r="D181" s="210"/>
      <c r="E181" s="210"/>
      <c r="F181" s="86"/>
      <c r="G181" s="251" t="s">
        <v>184</v>
      </c>
      <c r="H181" s="252"/>
      <c r="I181" s="252"/>
      <c r="J181" s="252"/>
      <c r="K181" s="252"/>
      <c r="L181" s="252"/>
      <c r="M181" s="252"/>
      <c r="N181" s="252"/>
      <c r="O181" s="252"/>
      <c r="P181" s="252"/>
      <c r="Q181" s="252"/>
      <c r="R181" s="54">
        <f t="shared" si="69"/>
        <v>0</v>
      </c>
      <c r="S181" s="90">
        <f t="shared" si="69"/>
        <v>0</v>
      </c>
      <c r="T181" s="31">
        <f t="shared" si="69"/>
        <v>0</v>
      </c>
      <c r="U181" s="31">
        <f t="shared" si="69"/>
        <v>0</v>
      </c>
      <c r="V181" s="90">
        <f t="shared" si="69"/>
        <v>0</v>
      </c>
      <c r="W181" s="54">
        <f t="shared" si="69"/>
        <v>0</v>
      </c>
      <c r="X181" s="116">
        <f t="shared" si="69"/>
        <v>0</v>
      </c>
      <c r="Y181" s="75">
        <f t="shared" si="58"/>
        <v>0</v>
      </c>
      <c r="Z181" s="29">
        <f t="shared" si="70"/>
        <v>0</v>
      </c>
    </row>
    <row r="182" spans="1:26" ht="16.5" customHeight="1" hidden="1">
      <c r="A182" s="214" t="s">
        <v>328</v>
      </c>
      <c r="B182" s="215"/>
      <c r="C182" s="215"/>
      <c r="D182" s="215"/>
      <c r="E182" s="215"/>
      <c r="F182" s="43"/>
      <c r="G182" s="173" t="s">
        <v>32</v>
      </c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  <c r="R182" s="55">
        <f>S182+T182+U182+V182</f>
        <v>0</v>
      </c>
      <c r="S182" s="65">
        <f aca="true" t="shared" si="71" ref="S182:X182">SUM(S183:S185)</f>
        <v>0</v>
      </c>
      <c r="T182" s="32">
        <f t="shared" si="71"/>
        <v>0</v>
      </c>
      <c r="U182" s="32">
        <f t="shared" si="71"/>
        <v>0</v>
      </c>
      <c r="V182" s="65">
        <f t="shared" si="71"/>
        <v>0</v>
      </c>
      <c r="W182" s="55">
        <f t="shared" si="71"/>
        <v>0</v>
      </c>
      <c r="X182" s="117">
        <f t="shared" si="71"/>
        <v>0</v>
      </c>
      <c r="Y182" s="75">
        <f t="shared" si="58"/>
        <v>0</v>
      </c>
      <c r="Z182" s="29">
        <f t="shared" si="70"/>
        <v>0</v>
      </c>
    </row>
    <row r="183" spans="1:26" ht="16.5" customHeight="1" hidden="1">
      <c r="A183" s="214" t="s">
        <v>329</v>
      </c>
      <c r="B183" s="215"/>
      <c r="C183" s="215"/>
      <c r="D183" s="215"/>
      <c r="E183" s="215"/>
      <c r="F183" s="43"/>
      <c r="G183" s="217" t="s">
        <v>38</v>
      </c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56">
        <f>S183+T183+U183+V183</f>
        <v>0</v>
      </c>
      <c r="S183" s="91">
        <v>0</v>
      </c>
      <c r="T183" s="33">
        <v>0</v>
      </c>
      <c r="U183" s="33">
        <v>0</v>
      </c>
      <c r="V183" s="91">
        <v>0</v>
      </c>
      <c r="W183" s="56">
        <v>0</v>
      </c>
      <c r="X183" s="119">
        <v>0</v>
      </c>
      <c r="Y183" s="75">
        <f t="shared" si="58"/>
        <v>0</v>
      </c>
      <c r="Z183" s="29">
        <f t="shared" si="70"/>
        <v>0</v>
      </c>
    </row>
    <row r="184" spans="1:26" ht="16.5" customHeight="1" hidden="1">
      <c r="A184" s="214" t="s">
        <v>330</v>
      </c>
      <c r="B184" s="215"/>
      <c r="C184" s="215"/>
      <c r="D184" s="215"/>
      <c r="E184" s="215"/>
      <c r="F184" s="43"/>
      <c r="G184" s="217" t="s">
        <v>42</v>
      </c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56">
        <f>S184+T184+U184+V184</f>
        <v>0</v>
      </c>
      <c r="S184" s="91">
        <v>0</v>
      </c>
      <c r="T184" s="33">
        <v>0</v>
      </c>
      <c r="U184" s="33">
        <v>0</v>
      </c>
      <c r="V184" s="91">
        <v>0</v>
      </c>
      <c r="W184" s="123">
        <v>0</v>
      </c>
      <c r="X184" s="120">
        <v>0</v>
      </c>
      <c r="Y184" s="75">
        <f t="shared" si="58"/>
        <v>0</v>
      </c>
      <c r="Z184" s="29">
        <f t="shared" si="70"/>
        <v>0</v>
      </c>
    </row>
    <row r="185" spans="1:26" ht="16.5" customHeight="1" hidden="1">
      <c r="A185" s="214" t="s">
        <v>331</v>
      </c>
      <c r="B185" s="215"/>
      <c r="C185" s="215"/>
      <c r="D185" s="215"/>
      <c r="E185" s="215"/>
      <c r="F185" s="43"/>
      <c r="G185" s="217" t="s">
        <v>71</v>
      </c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56">
        <f>S185+T185+U185+V185</f>
        <v>0</v>
      </c>
      <c r="S185" s="102">
        <v>0</v>
      </c>
      <c r="T185" s="103">
        <v>0</v>
      </c>
      <c r="U185" s="103">
        <v>0</v>
      </c>
      <c r="V185" s="102">
        <v>0</v>
      </c>
      <c r="W185" s="123">
        <v>0</v>
      </c>
      <c r="X185" s="120">
        <v>0</v>
      </c>
      <c r="Y185" s="75">
        <f t="shared" si="58"/>
        <v>0</v>
      </c>
      <c r="Z185" s="29">
        <f t="shared" si="70"/>
        <v>0</v>
      </c>
    </row>
    <row r="186" spans="1:26" s="4" customFormat="1" ht="12.75">
      <c r="A186" s="200" t="s">
        <v>125</v>
      </c>
      <c r="B186" s="201"/>
      <c r="C186" s="201"/>
      <c r="D186" s="201"/>
      <c r="E186" s="201"/>
      <c r="F186" s="202"/>
      <c r="G186" s="203" t="s">
        <v>49</v>
      </c>
      <c r="H186" s="204"/>
      <c r="I186" s="204"/>
      <c r="J186" s="204"/>
      <c r="K186" s="204"/>
      <c r="L186" s="204"/>
      <c r="M186" s="204"/>
      <c r="N186" s="204"/>
      <c r="O186" s="204"/>
      <c r="P186" s="204"/>
      <c r="Q186" s="204"/>
      <c r="R186" s="38">
        <f>R187</f>
        <v>349900</v>
      </c>
      <c r="S186" s="64">
        <f aca="true" t="shared" si="72" ref="S186:X190">S187</f>
        <v>87475</v>
      </c>
      <c r="T186" s="30">
        <f t="shared" si="72"/>
        <v>87475</v>
      </c>
      <c r="U186" s="30">
        <f t="shared" si="72"/>
        <v>87475</v>
      </c>
      <c r="V186" s="64">
        <f t="shared" si="72"/>
        <v>87475</v>
      </c>
      <c r="W186" s="38">
        <f t="shared" si="72"/>
        <v>362800</v>
      </c>
      <c r="X186" s="114">
        <f t="shared" si="72"/>
        <v>371500</v>
      </c>
      <c r="Y186" s="75">
        <f t="shared" si="58"/>
        <v>349900</v>
      </c>
      <c r="Z186" s="29">
        <f t="shared" si="39"/>
        <v>0</v>
      </c>
    </row>
    <row r="187" spans="1:26" s="3" customFormat="1" ht="12.75">
      <c r="A187" s="205" t="s">
        <v>333</v>
      </c>
      <c r="B187" s="206"/>
      <c r="C187" s="206"/>
      <c r="D187" s="206"/>
      <c r="E187" s="206"/>
      <c r="F187" s="236"/>
      <c r="G187" s="207" t="s">
        <v>332</v>
      </c>
      <c r="H187" s="208"/>
      <c r="I187" s="208"/>
      <c r="J187" s="208"/>
      <c r="K187" s="208"/>
      <c r="L187" s="208"/>
      <c r="M187" s="208"/>
      <c r="N187" s="208"/>
      <c r="O187" s="208"/>
      <c r="P187" s="208"/>
      <c r="Q187" s="208"/>
      <c r="R187" s="53">
        <f>R188</f>
        <v>349900</v>
      </c>
      <c r="S187" s="88">
        <f t="shared" si="72"/>
        <v>87475</v>
      </c>
      <c r="T187" s="51">
        <f t="shared" si="72"/>
        <v>87475</v>
      </c>
      <c r="U187" s="51">
        <f t="shared" si="72"/>
        <v>87475</v>
      </c>
      <c r="V187" s="88">
        <f t="shared" si="72"/>
        <v>87475</v>
      </c>
      <c r="W187" s="53">
        <f t="shared" si="72"/>
        <v>362800</v>
      </c>
      <c r="X187" s="115">
        <f t="shared" si="72"/>
        <v>371500</v>
      </c>
      <c r="Y187" s="75">
        <f t="shared" si="58"/>
        <v>349900</v>
      </c>
      <c r="Z187" s="29">
        <f>R187-S187-T187-U187-V187</f>
        <v>0</v>
      </c>
    </row>
    <row r="188" spans="1:26" s="3" customFormat="1" ht="13.5" customHeight="1">
      <c r="A188" s="209" t="s">
        <v>126</v>
      </c>
      <c r="B188" s="210"/>
      <c r="C188" s="210"/>
      <c r="D188" s="210"/>
      <c r="E188" s="210"/>
      <c r="F188" s="211"/>
      <c r="G188" s="212" t="s">
        <v>90</v>
      </c>
      <c r="H188" s="213"/>
      <c r="I188" s="213"/>
      <c r="J188" s="213"/>
      <c r="K188" s="213"/>
      <c r="L188" s="213"/>
      <c r="M188" s="213"/>
      <c r="N188" s="213"/>
      <c r="O188" s="213"/>
      <c r="P188" s="213"/>
      <c r="Q188" s="213"/>
      <c r="R188" s="54">
        <f>R189</f>
        <v>349900</v>
      </c>
      <c r="S188" s="90">
        <f t="shared" si="72"/>
        <v>87475</v>
      </c>
      <c r="T188" s="31">
        <f t="shared" si="72"/>
        <v>87475</v>
      </c>
      <c r="U188" s="31">
        <f t="shared" si="72"/>
        <v>87475</v>
      </c>
      <c r="V188" s="90">
        <f t="shared" si="72"/>
        <v>87475</v>
      </c>
      <c r="W188" s="54">
        <f t="shared" si="72"/>
        <v>362800</v>
      </c>
      <c r="X188" s="116">
        <f t="shared" si="72"/>
        <v>371500</v>
      </c>
      <c r="Y188" s="75">
        <f t="shared" si="58"/>
        <v>349900</v>
      </c>
      <c r="Z188" s="29">
        <f t="shared" si="39"/>
        <v>0</v>
      </c>
    </row>
    <row r="189" spans="1:26" ht="24" customHeight="1">
      <c r="A189" s="214" t="s">
        <v>334</v>
      </c>
      <c r="B189" s="215"/>
      <c r="C189" s="215"/>
      <c r="D189" s="215"/>
      <c r="E189" s="215"/>
      <c r="F189" s="43"/>
      <c r="G189" s="217" t="s">
        <v>198</v>
      </c>
      <c r="H189" s="218"/>
      <c r="I189" s="218"/>
      <c r="J189" s="218"/>
      <c r="K189" s="218"/>
      <c r="L189" s="218"/>
      <c r="M189" s="218"/>
      <c r="N189" s="218"/>
      <c r="O189" s="218"/>
      <c r="P189" s="218"/>
      <c r="Q189" s="273"/>
      <c r="R189" s="55">
        <f>R190</f>
        <v>349900</v>
      </c>
      <c r="S189" s="65">
        <f t="shared" si="72"/>
        <v>87475</v>
      </c>
      <c r="T189" s="32">
        <f t="shared" si="72"/>
        <v>87475</v>
      </c>
      <c r="U189" s="32">
        <f t="shared" si="72"/>
        <v>87475</v>
      </c>
      <c r="V189" s="65">
        <f t="shared" si="72"/>
        <v>87475</v>
      </c>
      <c r="W189" s="55">
        <f t="shared" si="72"/>
        <v>362800</v>
      </c>
      <c r="X189" s="117">
        <f t="shared" si="72"/>
        <v>371500</v>
      </c>
      <c r="Y189" s="75">
        <f aca="true" t="shared" si="73" ref="Y189:Y266">SUM(S189:V189)</f>
        <v>349900</v>
      </c>
      <c r="Z189" s="29">
        <f>R189-S189-T189-U189-V189</f>
        <v>0</v>
      </c>
    </row>
    <row r="190" spans="1:26" s="76" customFormat="1" ht="24" customHeight="1">
      <c r="A190" s="214" t="s">
        <v>335</v>
      </c>
      <c r="B190" s="215"/>
      <c r="C190" s="215"/>
      <c r="D190" s="215"/>
      <c r="E190" s="215"/>
      <c r="F190" s="43"/>
      <c r="G190" s="217" t="s">
        <v>200</v>
      </c>
      <c r="H190" s="218"/>
      <c r="I190" s="218"/>
      <c r="J190" s="218"/>
      <c r="K190" s="218"/>
      <c r="L190" s="218"/>
      <c r="M190" s="218"/>
      <c r="N190" s="218"/>
      <c r="O190" s="218"/>
      <c r="P190" s="218"/>
      <c r="Q190" s="273"/>
      <c r="R190" s="55">
        <f>R191</f>
        <v>349900</v>
      </c>
      <c r="S190" s="65">
        <f t="shared" si="72"/>
        <v>87475</v>
      </c>
      <c r="T190" s="32">
        <f t="shared" si="72"/>
        <v>87475</v>
      </c>
      <c r="U190" s="32">
        <f t="shared" si="72"/>
        <v>87475</v>
      </c>
      <c r="V190" s="65">
        <f t="shared" si="72"/>
        <v>87475</v>
      </c>
      <c r="W190" s="55">
        <f t="shared" si="72"/>
        <v>362800</v>
      </c>
      <c r="X190" s="117">
        <f t="shared" si="72"/>
        <v>371500</v>
      </c>
      <c r="Y190" s="75">
        <f t="shared" si="73"/>
        <v>349900</v>
      </c>
      <c r="Z190" s="29">
        <f>R190-S190-T190-U190-V190</f>
        <v>0</v>
      </c>
    </row>
    <row r="191" spans="1:26" s="76" customFormat="1" ht="24" customHeight="1">
      <c r="A191" s="214" t="s">
        <v>336</v>
      </c>
      <c r="B191" s="215"/>
      <c r="C191" s="215"/>
      <c r="D191" s="215"/>
      <c r="E191" s="215"/>
      <c r="F191" s="43"/>
      <c r="G191" s="217" t="s">
        <v>202</v>
      </c>
      <c r="H191" s="218"/>
      <c r="I191" s="218"/>
      <c r="J191" s="218"/>
      <c r="K191" s="218"/>
      <c r="L191" s="218"/>
      <c r="M191" s="218"/>
      <c r="N191" s="218"/>
      <c r="O191" s="218"/>
      <c r="P191" s="218"/>
      <c r="Q191" s="273"/>
      <c r="R191" s="55">
        <f>SUM(R192:R196)</f>
        <v>349900</v>
      </c>
      <c r="S191" s="65">
        <f aca="true" t="shared" si="74" ref="S191:X191">SUM(S192:S196)</f>
        <v>87475</v>
      </c>
      <c r="T191" s="32">
        <f t="shared" si="74"/>
        <v>87475</v>
      </c>
      <c r="U191" s="32">
        <f t="shared" si="74"/>
        <v>87475</v>
      </c>
      <c r="V191" s="65">
        <f t="shared" si="74"/>
        <v>87475</v>
      </c>
      <c r="W191" s="131">
        <f t="shared" si="74"/>
        <v>362800</v>
      </c>
      <c r="X191" s="130">
        <f t="shared" si="74"/>
        <v>371500</v>
      </c>
      <c r="Y191" s="75">
        <f t="shared" si="73"/>
        <v>349900</v>
      </c>
      <c r="Z191" s="29">
        <f>R191-S191-T191-U191-V191</f>
        <v>0</v>
      </c>
    </row>
    <row r="192" spans="1:26" ht="12.75">
      <c r="A192" s="214" t="s">
        <v>337</v>
      </c>
      <c r="B192" s="215"/>
      <c r="C192" s="215"/>
      <c r="D192" s="215"/>
      <c r="E192" s="215"/>
      <c r="F192" s="216"/>
      <c r="G192" s="217" t="s">
        <v>41</v>
      </c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56">
        <f>SUM(S192:V192)</f>
        <v>189900</v>
      </c>
      <c r="S192" s="102">
        <f>47475</f>
        <v>47475</v>
      </c>
      <c r="T192" s="103">
        <f>47475</f>
        <v>47475</v>
      </c>
      <c r="U192" s="103">
        <f>47475</f>
        <v>47475</v>
      </c>
      <c r="V192" s="102">
        <f>47475</f>
        <v>47475</v>
      </c>
      <c r="W192" s="123">
        <v>202800</v>
      </c>
      <c r="X192" s="120">
        <v>211500</v>
      </c>
      <c r="Y192" s="75">
        <f t="shared" si="73"/>
        <v>189900</v>
      </c>
      <c r="Z192" s="29">
        <f t="shared" si="39"/>
        <v>0</v>
      </c>
    </row>
    <row r="193" spans="1:26" ht="12.75">
      <c r="A193" s="214" t="s">
        <v>338</v>
      </c>
      <c r="B193" s="215"/>
      <c r="C193" s="215"/>
      <c r="D193" s="215"/>
      <c r="E193" s="215"/>
      <c r="F193" s="216"/>
      <c r="G193" s="217" t="s">
        <v>42</v>
      </c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56">
        <f>SUM(S193:V193)</f>
        <v>130000</v>
      </c>
      <c r="S193" s="102">
        <f>32500</f>
        <v>32500</v>
      </c>
      <c r="T193" s="103">
        <f>32500</f>
        <v>32500</v>
      </c>
      <c r="U193" s="103">
        <f>32500</f>
        <v>32500</v>
      </c>
      <c r="V193" s="102">
        <f>32500</f>
        <v>32500</v>
      </c>
      <c r="W193" s="123">
        <v>130000</v>
      </c>
      <c r="X193" s="120">
        <v>130000</v>
      </c>
      <c r="Y193" s="75">
        <f t="shared" si="73"/>
        <v>130000</v>
      </c>
      <c r="Z193" s="29">
        <f t="shared" si="39"/>
        <v>0</v>
      </c>
    </row>
    <row r="194" spans="1:26" ht="12.75" hidden="1">
      <c r="A194" s="214" t="s">
        <v>339</v>
      </c>
      <c r="B194" s="215"/>
      <c r="C194" s="215"/>
      <c r="D194" s="215"/>
      <c r="E194" s="215"/>
      <c r="F194" s="216"/>
      <c r="G194" s="217" t="s">
        <v>72</v>
      </c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56">
        <f>SUM(S194:V194)</f>
        <v>0</v>
      </c>
      <c r="S194" s="102">
        <v>0</v>
      </c>
      <c r="T194" s="103">
        <v>0</v>
      </c>
      <c r="U194" s="103">
        <v>0</v>
      </c>
      <c r="V194" s="102">
        <v>0</v>
      </c>
      <c r="W194" s="123">
        <v>0</v>
      </c>
      <c r="X194" s="120">
        <v>0</v>
      </c>
      <c r="Y194" s="75">
        <f t="shared" si="73"/>
        <v>0</v>
      </c>
      <c r="Z194" s="29">
        <f t="shared" si="39"/>
        <v>0</v>
      </c>
    </row>
    <row r="195" spans="1:26" ht="12.75" hidden="1">
      <c r="A195" s="214" t="s">
        <v>340</v>
      </c>
      <c r="B195" s="215"/>
      <c r="C195" s="215"/>
      <c r="D195" s="215"/>
      <c r="E195" s="215"/>
      <c r="F195" s="216"/>
      <c r="G195" s="217" t="s">
        <v>43</v>
      </c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56">
        <f>SUM(S195:V195)</f>
        <v>0</v>
      </c>
      <c r="S195" s="102">
        <v>0</v>
      </c>
      <c r="T195" s="103">
        <v>0</v>
      </c>
      <c r="U195" s="103">
        <v>0</v>
      </c>
      <c r="V195" s="102">
        <v>0</v>
      </c>
      <c r="W195" s="123">
        <v>0</v>
      </c>
      <c r="X195" s="120">
        <v>0</v>
      </c>
      <c r="Y195" s="75">
        <f t="shared" si="73"/>
        <v>0</v>
      </c>
      <c r="Z195" s="29">
        <f t="shared" si="39"/>
        <v>0</v>
      </c>
    </row>
    <row r="196" spans="1:26" ht="12.75">
      <c r="A196" s="214" t="s">
        <v>341</v>
      </c>
      <c r="B196" s="215"/>
      <c r="C196" s="215"/>
      <c r="D196" s="215"/>
      <c r="E196" s="215"/>
      <c r="F196" s="216"/>
      <c r="G196" s="173" t="s">
        <v>71</v>
      </c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  <c r="R196" s="56">
        <f>SUM(S196:V196)</f>
        <v>30000</v>
      </c>
      <c r="S196" s="102">
        <f>7500</f>
        <v>7500</v>
      </c>
      <c r="T196" s="103">
        <f>7500</f>
        <v>7500</v>
      </c>
      <c r="U196" s="103">
        <f>7500</f>
        <v>7500</v>
      </c>
      <c r="V196" s="102">
        <f>7500</f>
        <v>7500</v>
      </c>
      <c r="W196" s="123">
        <v>30000</v>
      </c>
      <c r="X196" s="120">
        <v>30000</v>
      </c>
      <c r="Y196" s="75">
        <f t="shared" si="73"/>
        <v>30000</v>
      </c>
      <c r="Z196" s="29">
        <f t="shared" si="39"/>
        <v>0</v>
      </c>
    </row>
    <row r="197" spans="1:26" s="4" customFormat="1" ht="15.75" customHeight="1" hidden="1">
      <c r="A197" s="200" t="s">
        <v>127</v>
      </c>
      <c r="B197" s="201"/>
      <c r="C197" s="201"/>
      <c r="D197" s="201"/>
      <c r="E197" s="201"/>
      <c r="F197" s="202"/>
      <c r="G197" s="203" t="s">
        <v>93</v>
      </c>
      <c r="H197" s="204"/>
      <c r="I197" s="204"/>
      <c r="J197" s="204"/>
      <c r="K197" s="204"/>
      <c r="L197" s="204"/>
      <c r="M197" s="204"/>
      <c r="N197" s="204"/>
      <c r="O197" s="204"/>
      <c r="P197" s="204"/>
      <c r="Q197" s="204"/>
      <c r="R197" s="38">
        <f>R198</f>
        <v>0</v>
      </c>
      <c r="S197" s="64">
        <f aca="true" t="shared" si="75" ref="S197:X197">S198</f>
        <v>0</v>
      </c>
      <c r="T197" s="30">
        <f t="shared" si="75"/>
        <v>0</v>
      </c>
      <c r="U197" s="30">
        <f t="shared" si="75"/>
        <v>0</v>
      </c>
      <c r="V197" s="64">
        <f t="shared" si="75"/>
        <v>0</v>
      </c>
      <c r="W197" s="141">
        <f t="shared" si="75"/>
        <v>0</v>
      </c>
      <c r="X197" s="144">
        <f t="shared" si="75"/>
        <v>0</v>
      </c>
      <c r="Y197" s="75">
        <f t="shared" si="73"/>
        <v>0</v>
      </c>
      <c r="Z197" s="29">
        <f t="shared" si="39"/>
        <v>0</v>
      </c>
    </row>
    <row r="198" spans="1:26" s="3" customFormat="1" ht="15.75" customHeight="1" hidden="1">
      <c r="A198" s="205" t="s">
        <v>128</v>
      </c>
      <c r="B198" s="206"/>
      <c r="C198" s="206"/>
      <c r="D198" s="206"/>
      <c r="E198" s="206"/>
      <c r="F198" s="236"/>
      <c r="G198" s="207" t="s">
        <v>98</v>
      </c>
      <c r="H198" s="208"/>
      <c r="I198" s="208"/>
      <c r="J198" s="208"/>
      <c r="K198" s="208"/>
      <c r="L198" s="208"/>
      <c r="M198" s="208"/>
      <c r="N198" s="208"/>
      <c r="O198" s="208"/>
      <c r="P198" s="208"/>
      <c r="Q198" s="208"/>
      <c r="R198" s="53">
        <f>R199</f>
        <v>0</v>
      </c>
      <c r="S198" s="88">
        <f aca="true" t="shared" si="76" ref="S198:X199">S199</f>
        <v>0</v>
      </c>
      <c r="T198" s="51">
        <f t="shared" si="76"/>
        <v>0</v>
      </c>
      <c r="U198" s="51">
        <f t="shared" si="76"/>
        <v>0</v>
      </c>
      <c r="V198" s="88">
        <f t="shared" si="76"/>
        <v>0</v>
      </c>
      <c r="W198" s="142">
        <f t="shared" si="76"/>
        <v>0</v>
      </c>
      <c r="X198" s="145">
        <f t="shared" si="76"/>
        <v>0</v>
      </c>
      <c r="Y198" s="75">
        <f t="shared" si="73"/>
        <v>0</v>
      </c>
      <c r="Z198" s="29">
        <f t="shared" si="39"/>
        <v>0</v>
      </c>
    </row>
    <row r="199" spans="1:26" s="3" customFormat="1" ht="13.5" customHeight="1" hidden="1">
      <c r="A199" s="209" t="s">
        <v>129</v>
      </c>
      <c r="B199" s="210"/>
      <c r="C199" s="210"/>
      <c r="D199" s="210"/>
      <c r="E199" s="210"/>
      <c r="F199" s="211"/>
      <c r="G199" s="212" t="s">
        <v>94</v>
      </c>
      <c r="H199" s="213"/>
      <c r="I199" s="213"/>
      <c r="J199" s="213"/>
      <c r="K199" s="213"/>
      <c r="L199" s="213"/>
      <c r="M199" s="213"/>
      <c r="N199" s="213"/>
      <c r="O199" s="213"/>
      <c r="P199" s="213"/>
      <c r="Q199" s="213"/>
      <c r="R199" s="54">
        <f>R200</f>
        <v>0</v>
      </c>
      <c r="S199" s="90">
        <f t="shared" si="76"/>
        <v>0</v>
      </c>
      <c r="T199" s="31">
        <f t="shared" si="76"/>
        <v>0</v>
      </c>
      <c r="U199" s="31">
        <f t="shared" si="76"/>
        <v>0</v>
      </c>
      <c r="V199" s="90">
        <f t="shared" si="76"/>
        <v>0</v>
      </c>
      <c r="W199" s="143">
        <f t="shared" si="76"/>
        <v>0</v>
      </c>
      <c r="X199" s="146">
        <f t="shared" si="76"/>
        <v>0</v>
      </c>
      <c r="Y199" s="75">
        <f t="shared" si="73"/>
        <v>0</v>
      </c>
      <c r="Z199" s="29">
        <f t="shared" si="39"/>
        <v>0</v>
      </c>
    </row>
    <row r="200" spans="1:26" ht="15" customHeight="1" hidden="1">
      <c r="A200" s="214" t="s">
        <v>342</v>
      </c>
      <c r="B200" s="215"/>
      <c r="C200" s="215"/>
      <c r="D200" s="215"/>
      <c r="E200" s="215"/>
      <c r="F200" s="216"/>
      <c r="G200" s="217" t="s">
        <v>95</v>
      </c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55">
        <f aca="true" t="shared" si="77" ref="R200:X200">SUM(R201:R201)</f>
        <v>0</v>
      </c>
      <c r="S200" s="65">
        <f t="shared" si="77"/>
        <v>0</v>
      </c>
      <c r="T200" s="32">
        <f t="shared" si="77"/>
        <v>0</v>
      </c>
      <c r="U200" s="32">
        <f t="shared" si="77"/>
        <v>0</v>
      </c>
      <c r="V200" s="65">
        <f t="shared" si="77"/>
        <v>0</v>
      </c>
      <c r="W200" s="131">
        <f t="shared" si="77"/>
        <v>0</v>
      </c>
      <c r="X200" s="130">
        <f t="shared" si="77"/>
        <v>0</v>
      </c>
      <c r="Y200" s="75">
        <f t="shared" si="73"/>
        <v>0</v>
      </c>
      <c r="Z200" s="29">
        <f t="shared" si="39"/>
        <v>0</v>
      </c>
    </row>
    <row r="201" spans="1:26" ht="24.75" customHeight="1" hidden="1">
      <c r="A201" s="214" t="s">
        <v>343</v>
      </c>
      <c r="B201" s="215"/>
      <c r="C201" s="215"/>
      <c r="D201" s="215"/>
      <c r="E201" s="215"/>
      <c r="F201" s="216"/>
      <c r="G201" s="217" t="s">
        <v>97</v>
      </c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56">
        <f>SUM(S201:V201)</f>
        <v>0</v>
      </c>
      <c r="S201" s="91"/>
      <c r="T201" s="33"/>
      <c r="U201" s="33"/>
      <c r="V201" s="91"/>
      <c r="W201" s="123">
        <v>0</v>
      </c>
      <c r="X201" s="120">
        <v>0</v>
      </c>
      <c r="Y201" s="75">
        <f t="shared" si="73"/>
        <v>0</v>
      </c>
      <c r="Z201" s="29">
        <f t="shared" si="39"/>
        <v>0</v>
      </c>
    </row>
    <row r="202" spans="1:26" s="4" customFormat="1" ht="12.75">
      <c r="A202" s="200" t="s">
        <v>130</v>
      </c>
      <c r="B202" s="201"/>
      <c r="C202" s="201"/>
      <c r="D202" s="201"/>
      <c r="E202" s="201"/>
      <c r="F202" s="202"/>
      <c r="G202" s="203" t="s">
        <v>51</v>
      </c>
      <c r="H202" s="204"/>
      <c r="I202" s="204"/>
      <c r="J202" s="204"/>
      <c r="K202" s="204"/>
      <c r="L202" s="204"/>
      <c r="M202" s="204"/>
      <c r="N202" s="204"/>
      <c r="O202" s="204"/>
      <c r="P202" s="204"/>
      <c r="Q202" s="204"/>
      <c r="R202" s="38">
        <f aca="true" t="shared" si="78" ref="R202:X202">R204+R213+R219+R224+R232</f>
        <v>1940400</v>
      </c>
      <c r="S202" s="64">
        <f t="shared" si="78"/>
        <v>549500</v>
      </c>
      <c r="T202" s="30">
        <f t="shared" si="78"/>
        <v>469000</v>
      </c>
      <c r="U202" s="30">
        <f t="shared" si="78"/>
        <v>382000</v>
      </c>
      <c r="V202" s="64">
        <f t="shared" si="78"/>
        <v>539900</v>
      </c>
      <c r="W202" s="141">
        <f t="shared" si="78"/>
        <v>2012200</v>
      </c>
      <c r="X202" s="144">
        <f t="shared" si="78"/>
        <v>2060600</v>
      </c>
      <c r="Y202" s="75">
        <f t="shared" si="73"/>
        <v>1940400</v>
      </c>
      <c r="Z202" s="29">
        <f t="shared" si="39"/>
        <v>0</v>
      </c>
    </row>
    <row r="203" spans="1:26" s="49" customFormat="1" ht="12.75">
      <c r="A203" s="205" t="s">
        <v>132</v>
      </c>
      <c r="B203" s="206"/>
      <c r="C203" s="206"/>
      <c r="D203" s="206"/>
      <c r="E203" s="206"/>
      <c r="F203" s="47"/>
      <c r="G203" s="207" t="s">
        <v>51</v>
      </c>
      <c r="H203" s="208"/>
      <c r="I203" s="208"/>
      <c r="J203" s="208"/>
      <c r="K203" s="208"/>
      <c r="L203" s="208"/>
      <c r="M203" s="208"/>
      <c r="N203" s="208"/>
      <c r="O203" s="208"/>
      <c r="P203" s="208"/>
      <c r="Q203" s="208"/>
      <c r="R203" s="53">
        <f>R202</f>
        <v>1940400</v>
      </c>
      <c r="S203" s="88">
        <f aca="true" t="shared" si="79" ref="S203:X203">S202</f>
        <v>549500</v>
      </c>
      <c r="T203" s="51">
        <f t="shared" si="79"/>
        <v>469000</v>
      </c>
      <c r="U203" s="51">
        <f t="shared" si="79"/>
        <v>382000</v>
      </c>
      <c r="V203" s="88">
        <f t="shared" si="79"/>
        <v>539900</v>
      </c>
      <c r="W203" s="53">
        <f t="shared" si="79"/>
        <v>2012200</v>
      </c>
      <c r="X203" s="115">
        <f t="shared" si="79"/>
        <v>2060600</v>
      </c>
      <c r="Y203" s="75">
        <f t="shared" si="73"/>
        <v>1940400</v>
      </c>
      <c r="Z203" s="29">
        <f t="shared" si="39"/>
        <v>0</v>
      </c>
    </row>
    <row r="204" spans="1:26" s="3" customFormat="1" ht="12.75">
      <c r="A204" s="209" t="s">
        <v>131</v>
      </c>
      <c r="B204" s="210"/>
      <c r="C204" s="210"/>
      <c r="D204" s="210"/>
      <c r="E204" s="210"/>
      <c r="F204" s="211"/>
      <c r="G204" s="212" t="s">
        <v>52</v>
      </c>
      <c r="H204" s="213"/>
      <c r="I204" s="213"/>
      <c r="J204" s="213"/>
      <c r="K204" s="213"/>
      <c r="L204" s="213"/>
      <c r="M204" s="213"/>
      <c r="N204" s="213"/>
      <c r="O204" s="213"/>
      <c r="P204" s="213"/>
      <c r="Q204" s="213"/>
      <c r="R204" s="54">
        <f>R205</f>
        <v>1330400</v>
      </c>
      <c r="S204" s="90">
        <f aca="true" t="shared" si="80" ref="S204:X206">S205</f>
        <v>400000</v>
      </c>
      <c r="T204" s="31">
        <f t="shared" si="80"/>
        <v>310000</v>
      </c>
      <c r="U204" s="31">
        <f t="shared" si="80"/>
        <v>230000</v>
      </c>
      <c r="V204" s="90">
        <f t="shared" si="80"/>
        <v>390400</v>
      </c>
      <c r="W204" s="54">
        <f t="shared" si="80"/>
        <v>1379700</v>
      </c>
      <c r="X204" s="116">
        <f t="shared" si="80"/>
        <v>1412800</v>
      </c>
      <c r="Y204" s="75">
        <f t="shared" si="73"/>
        <v>1330400</v>
      </c>
      <c r="Z204" s="29">
        <f t="shared" si="39"/>
        <v>0</v>
      </c>
    </row>
    <row r="205" spans="1:26" ht="24" customHeight="1">
      <c r="A205" s="214" t="s">
        <v>344</v>
      </c>
      <c r="B205" s="215"/>
      <c r="C205" s="215"/>
      <c r="D205" s="215"/>
      <c r="E205" s="215"/>
      <c r="F205" s="43"/>
      <c r="G205" s="217" t="s">
        <v>198</v>
      </c>
      <c r="H205" s="218"/>
      <c r="I205" s="218"/>
      <c r="J205" s="218"/>
      <c r="K205" s="218"/>
      <c r="L205" s="218"/>
      <c r="M205" s="218"/>
      <c r="N205" s="218"/>
      <c r="O205" s="218"/>
      <c r="P205" s="218"/>
      <c r="Q205" s="273"/>
      <c r="R205" s="55">
        <f>R206</f>
        <v>1330400</v>
      </c>
      <c r="S205" s="65">
        <f t="shared" si="80"/>
        <v>400000</v>
      </c>
      <c r="T205" s="32">
        <f t="shared" si="80"/>
        <v>310000</v>
      </c>
      <c r="U205" s="32">
        <f t="shared" si="80"/>
        <v>230000</v>
      </c>
      <c r="V205" s="65">
        <f t="shared" si="80"/>
        <v>390400</v>
      </c>
      <c r="W205" s="55">
        <f t="shared" si="80"/>
        <v>1379700</v>
      </c>
      <c r="X205" s="117">
        <f t="shared" si="80"/>
        <v>1412800</v>
      </c>
      <c r="Y205" s="75">
        <f>SUM(S205:V205)</f>
        <v>1330400</v>
      </c>
      <c r="Z205" s="29">
        <f t="shared" si="39"/>
        <v>0</v>
      </c>
    </row>
    <row r="206" spans="1:26" s="76" customFormat="1" ht="24" customHeight="1">
      <c r="A206" s="214" t="s">
        <v>345</v>
      </c>
      <c r="B206" s="215"/>
      <c r="C206" s="215"/>
      <c r="D206" s="215"/>
      <c r="E206" s="215"/>
      <c r="F206" s="43"/>
      <c r="G206" s="217" t="s">
        <v>200</v>
      </c>
      <c r="H206" s="218"/>
      <c r="I206" s="218"/>
      <c r="J206" s="218"/>
      <c r="K206" s="218"/>
      <c r="L206" s="218"/>
      <c r="M206" s="218"/>
      <c r="N206" s="218"/>
      <c r="O206" s="218"/>
      <c r="P206" s="218"/>
      <c r="Q206" s="273"/>
      <c r="R206" s="55">
        <f>R207</f>
        <v>1330400</v>
      </c>
      <c r="S206" s="65">
        <f t="shared" si="80"/>
        <v>400000</v>
      </c>
      <c r="T206" s="32">
        <f t="shared" si="80"/>
        <v>310000</v>
      </c>
      <c r="U206" s="32">
        <f t="shared" si="80"/>
        <v>230000</v>
      </c>
      <c r="V206" s="65">
        <f t="shared" si="80"/>
        <v>390400</v>
      </c>
      <c r="W206" s="55">
        <f t="shared" si="80"/>
        <v>1379700</v>
      </c>
      <c r="X206" s="117">
        <f t="shared" si="80"/>
        <v>1412800</v>
      </c>
      <c r="Y206" s="75">
        <f>SUM(S206:V206)</f>
        <v>1330400</v>
      </c>
      <c r="Z206" s="29">
        <f t="shared" si="39"/>
        <v>0</v>
      </c>
    </row>
    <row r="207" spans="1:26" s="76" customFormat="1" ht="24" customHeight="1">
      <c r="A207" s="214" t="s">
        <v>346</v>
      </c>
      <c r="B207" s="215"/>
      <c r="C207" s="215"/>
      <c r="D207" s="215"/>
      <c r="E207" s="215"/>
      <c r="F207" s="43"/>
      <c r="G207" s="217" t="s">
        <v>202</v>
      </c>
      <c r="H207" s="218"/>
      <c r="I207" s="218"/>
      <c r="J207" s="218"/>
      <c r="K207" s="218"/>
      <c r="L207" s="218"/>
      <c r="M207" s="218"/>
      <c r="N207" s="218"/>
      <c r="O207" s="218"/>
      <c r="P207" s="218"/>
      <c r="Q207" s="273"/>
      <c r="R207" s="55">
        <f>SUM(R208:R212)</f>
        <v>1330400</v>
      </c>
      <c r="S207" s="65">
        <f aca="true" t="shared" si="81" ref="S207:X207">SUM(S208:S212)</f>
        <v>400000</v>
      </c>
      <c r="T207" s="32">
        <f t="shared" si="81"/>
        <v>310000</v>
      </c>
      <c r="U207" s="32">
        <f t="shared" si="81"/>
        <v>230000</v>
      </c>
      <c r="V207" s="65">
        <f t="shared" si="81"/>
        <v>390400</v>
      </c>
      <c r="W207" s="131">
        <f t="shared" si="81"/>
        <v>1379700</v>
      </c>
      <c r="X207" s="130">
        <f t="shared" si="81"/>
        <v>1412800</v>
      </c>
      <c r="Y207" s="75">
        <f>SUM(S207:V207)</f>
        <v>1330400</v>
      </c>
      <c r="Z207" s="29">
        <f t="shared" si="39"/>
        <v>0</v>
      </c>
    </row>
    <row r="208" spans="1:26" ht="12.75" hidden="1">
      <c r="A208" s="214" t="s">
        <v>347</v>
      </c>
      <c r="B208" s="215"/>
      <c r="C208" s="215"/>
      <c r="D208" s="215"/>
      <c r="E208" s="215"/>
      <c r="F208" s="216"/>
      <c r="G208" s="217" t="s">
        <v>39</v>
      </c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56">
        <f>SUM(S208:V208)</f>
        <v>0</v>
      </c>
      <c r="S208" s="102">
        <v>0</v>
      </c>
      <c r="T208" s="103">
        <v>0</v>
      </c>
      <c r="U208" s="103">
        <v>0</v>
      </c>
      <c r="V208" s="102">
        <v>0</v>
      </c>
      <c r="W208" s="123">
        <v>0</v>
      </c>
      <c r="X208" s="120">
        <v>0</v>
      </c>
      <c r="Y208" s="75">
        <f t="shared" si="73"/>
        <v>0</v>
      </c>
      <c r="Z208" s="29">
        <f t="shared" si="39"/>
        <v>0</v>
      </c>
    </row>
    <row r="209" spans="1:26" ht="12.75">
      <c r="A209" s="214" t="s">
        <v>348</v>
      </c>
      <c r="B209" s="215"/>
      <c r="C209" s="215"/>
      <c r="D209" s="215"/>
      <c r="E209" s="215"/>
      <c r="F209" s="216"/>
      <c r="G209" s="217" t="s">
        <v>40</v>
      </c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56">
        <f>SUM(S209:V209)</f>
        <v>730400</v>
      </c>
      <c r="S209" s="102">
        <f>250000</f>
        <v>250000</v>
      </c>
      <c r="T209" s="103">
        <f>160000</f>
        <v>160000</v>
      </c>
      <c r="U209" s="103">
        <f>80000</f>
        <v>80000</v>
      </c>
      <c r="V209" s="102">
        <f>240400</f>
        <v>240400</v>
      </c>
      <c r="W209" s="123">
        <v>759700</v>
      </c>
      <c r="X209" s="120">
        <v>772800</v>
      </c>
      <c r="Y209" s="75">
        <f t="shared" si="73"/>
        <v>730400</v>
      </c>
      <c r="Z209" s="29">
        <f t="shared" si="39"/>
        <v>0</v>
      </c>
    </row>
    <row r="210" spans="1:26" ht="12.75">
      <c r="A210" s="214" t="s">
        <v>349</v>
      </c>
      <c r="B210" s="215"/>
      <c r="C210" s="215"/>
      <c r="D210" s="215"/>
      <c r="E210" s="215"/>
      <c r="F210" s="216"/>
      <c r="G210" s="217" t="s">
        <v>41</v>
      </c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56">
        <f>SUM(S210:V210)</f>
        <v>600000</v>
      </c>
      <c r="S210" s="102">
        <f>150000</f>
        <v>150000</v>
      </c>
      <c r="T210" s="103">
        <f>150000</f>
        <v>150000</v>
      </c>
      <c r="U210" s="103">
        <f>150000</f>
        <v>150000</v>
      </c>
      <c r="V210" s="102">
        <f>150000</f>
        <v>150000</v>
      </c>
      <c r="W210" s="123">
        <v>620000</v>
      </c>
      <c r="X210" s="120">
        <v>640000</v>
      </c>
      <c r="Y210" s="75">
        <f t="shared" si="73"/>
        <v>600000</v>
      </c>
      <c r="Z210" s="29">
        <f t="shared" si="39"/>
        <v>0</v>
      </c>
    </row>
    <row r="211" spans="1:26" ht="21.75" customHeight="1" hidden="1">
      <c r="A211" s="214" t="s">
        <v>350</v>
      </c>
      <c r="B211" s="215"/>
      <c r="C211" s="215"/>
      <c r="D211" s="215"/>
      <c r="E211" s="215"/>
      <c r="F211" s="216"/>
      <c r="G211" s="217" t="s">
        <v>50</v>
      </c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56">
        <f>SUM(S211:V211)</f>
        <v>0</v>
      </c>
      <c r="S211" s="102">
        <v>0</v>
      </c>
      <c r="T211" s="103">
        <v>0</v>
      </c>
      <c r="U211" s="103">
        <v>0</v>
      </c>
      <c r="V211" s="102">
        <v>0</v>
      </c>
      <c r="W211" s="123">
        <v>0</v>
      </c>
      <c r="X211" s="120">
        <v>0</v>
      </c>
      <c r="Y211" s="75">
        <f t="shared" si="73"/>
        <v>0</v>
      </c>
      <c r="Z211" s="29">
        <f t="shared" si="39"/>
        <v>0</v>
      </c>
    </row>
    <row r="212" spans="1:26" ht="12.75" hidden="1">
      <c r="A212" s="214" t="s">
        <v>351</v>
      </c>
      <c r="B212" s="215"/>
      <c r="C212" s="215"/>
      <c r="D212" s="215"/>
      <c r="E212" s="215"/>
      <c r="F212" s="216"/>
      <c r="G212" s="173" t="s">
        <v>71</v>
      </c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  <c r="R212" s="56">
        <f>SUM(S212:V212)</f>
        <v>0</v>
      </c>
      <c r="S212" s="102">
        <v>0</v>
      </c>
      <c r="T212" s="103">
        <v>0</v>
      </c>
      <c r="U212" s="103">
        <v>0</v>
      </c>
      <c r="V212" s="102">
        <v>0</v>
      </c>
      <c r="W212" s="123">
        <v>0</v>
      </c>
      <c r="X212" s="120">
        <v>0</v>
      </c>
      <c r="Y212" s="75">
        <f t="shared" si="73"/>
        <v>0</v>
      </c>
      <c r="Z212" s="29">
        <f t="shared" si="39"/>
        <v>0</v>
      </c>
    </row>
    <row r="213" spans="1:26" s="3" customFormat="1" ht="36" customHeight="1" hidden="1">
      <c r="A213" s="209" t="s">
        <v>133</v>
      </c>
      <c r="B213" s="210"/>
      <c r="C213" s="210"/>
      <c r="D213" s="210"/>
      <c r="E213" s="210"/>
      <c r="F213" s="211"/>
      <c r="G213" s="276" t="s">
        <v>218</v>
      </c>
      <c r="H213" s="213"/>
      <c r="I213" s="213"/>
      <c r="J213" s="213"/>
      <c r="K213" s="213"/>
      <c r="L213" s="213"/>
      <c r="M213" s="213"/>
      <c r="N213" s="213"/>
      <c r="O213" s="213"/>
      <c r="P213" s="213"/>
      <c r="Q213" s="213"/>
      <c r="R213" s="54">
        <f>R214</f>
        <v>0</v>
      </c>
      <c r="S213" s="90">
        <f aca="true" t="shared" si="82" ref="S213:X213">S214</f>
        <v>0</v>
      </c>
      <c r="T213" s="31">
        <f t="shared" si="82"/>
        <v>0</v>
      </c>
      <c r="U213" s="31">
        <f>U214</f>
        <v>0</v>
      </c>
      <c r="V213" s="90">
        <f t="shared" si="82"/>
        <v>0</v>
      </c>
      <c r="W213" s="54">
        <f t="shared" si="82"/>
        <v>0</v>
      </c>
      <c r="X213" s="116">
        <f t="shared" si="82"/>
        <v>0</v>
      </c>
      <c r="Y213" s="75">
        <f t="shared" si="73"/>
        <v>0</v>
      </c>
      <c r="Z213" s="29">
        <f t="shared" si="39"/>
        <v>0</v>
      </c>
    </row>
    <row r="214" spans="1:26" ht="15.75" customHeight="1" hidden="1">
      <c r="A214" s="229" t="s">
        <v>134</v>
      </c>
      <c r="B214" s="230"/>
      <c r="C214" s="230"/>
      <c r="D214" s="230"/>
      <c r="E214" s="230"/>
      <c r="F214" s="231"/>
      <c r="G214" s="234" t="s">
        <v>32</v>
      </c>
      <c r="H214" s="235"/>
      <c r="I214" s="235"/>
      <c r="J214" s="235"/>
      <c r="K214" s="235"/>
      <c r="L214" s="235"/>
      <c r="M214" s="235"/>
      <c r="N214" s="235"/>
      <c r="O214" s="235"/>
      <c r="P214" s="235"/>
      <c r="Q214" s="235"/>
      <c r="R214" s="55">
        <f aca="true" t="shared" si="83" ref="R214:X214">SUM(R215:R218)</f>
        <v>0</v>
      </c>
      <c r="S214" s="65">
        <f>SUM(S215:S218)</f>
        <v>0</v>
      </c>
      <c r="T214" s="32">
        <f t="shared" si="83"/>
        <v>0</v>
      </c>
      <c r="U214" s="32">
        <f t="shared" si="83"/>
        <v>0</v>
      </c>
      <c r="V214" s="65">
        <f t="shared" si="83"/>
        <v>0</v>
      </c>
      <c r="W214" s="55">
        <f t="shared" si="83"/>
        <v>0</v>
      </c>
      <c r="X214" s="117">
        <f t="shared" si="83"/>
        <v>0</v>
      </c>
      <c r="Y214" s="75">
        <f t="shared" si="73"/>
        <v>0</v>
      </c>
      <c r="Z214" s="29">
        <f t="shared" si="39"/>
        <v>0</v>
      </c>
    </row>
    <row r="215" spans="1:26" ht="16.5" customHeight="1" hidden="1">
      <c r="A215" s="229" t="s">
        <v>135</v>
      </c>
      <c r="B215" s="230"/>
      <c r="C215" s="230"/>
      <c r="D215" s="230"/>
      <c r="E215" s="230"/>
      <c r="F215" s="231"/>
      <c r="G215" s="234" t="s">
        <v>39</v>
      </c>
      <c r="H215" s="235"/>
      <c r="I215" s="235"/>
      <c r="J215" s="235"/>
      <c r="K215" s="235"/>
      <c r="L215" s="235"/>
      <c r="M215" s="235"/>
      <c r="N215" s="235"/>
      <c r="O215" s="235"/>
      <c r="P215" s="235"/>
      <c r="Q215" s="235"/>
      <c r="R215" s="56">
        <f>SUM(S215:V215)</f>
        <v>0</v>
      </c>
      <c r="S215" s="98"/>
      <c r="T215" s="99"/>
      <c r="U215" s="99"/>
      <c r="V215" s="98"/>
      <c r="W215" s="100"/>
      <c r="X215" s="118"/>
      <c r="Y215" s="75">
        <f t="shared" si="73"/>
        <v>0</v>
      </c>
      <c r="Z215" s="29">
        <f t="shared" si="39"/>
        <v>0</v>
      </c>
    </row>
    <row r="216" spans="1:26" ht="16.5" customHeight="1" hidden="1">
      <c r="A216" s="229" t="s">
        <v>136</v>
      </c>
      <c r="B216" s="230"/>
      <c r="C216" s="230"/>
      <c r="D216" s="230"/>
      <c r="E216" s="230"/>
      <c r="F216" s="231"/>
      <c r="G216" s="234" t="s">
        <v>41</v>
      </c>
      <c r="H216" s="235"/>
      <c r="I216" s="235"/>
      <c r="J216" s="235"/>
      <c r="K216" s="235"/>
      <c r="L216" s="235"/>
      <c r="M216" s="235"/>
      <c r="N216" s="235"/>
      <c r="O216" s="235"/>
      <c r="P216" s="235"/>
      <c r="Q216" s="235"/>
      <c r="R216" s="56">
        <f>SUM(S216:V216)</f>
        <v>0</v>
      </c>
      <c r="S216" s="98"/>
      <c r="T216" s="99"/>
      <c r="U216" s="99"/>
      <c r="V216" s="98"/>
      <c r="W216" s="100"/>
      <c r="X216" s="118"/>
      <c r="Y216" s="75">
        <f t="shared" si="73"/>
        <v>0</v>
      </c>
      <c r="Z216" s="29">
        <f t="shared" si="39"/>
        <v>0</v>
      </c>
    </row>
    <row r="217" spans="1:26" ht="16.5" customHeight="1" hidden="1">
      <c r="A217" s="229" t="s">
        <v>166</v>
      </c>
      <c r="B217" s="230"/>
      <c r="C217" s="230"/>
      <c r="D217" s="230"/>
      <c r="E217" s="230"/>
      <c r="F217" s="231"/>
      <c r="G217" s="234" t="s">
        <v>42</v>
      </c>
      <c r="H217" s="235"/>
      <c r="I217" s="235"/>
      <c r="J217" s="235"/>
      <c r="K217" s="235"/>
      <c r="L217" s="235"/>
      <c r="M217" s="235"/>
      <c r="N217" s="235"/>
      <c r="O217" s="235"/>
      <c r="P217" s="235"/>
      <c r="Q217" s="235"/>
      <c r="R217" s="56">
        <f>SUM(S217:V217)</f>
        <v>0</v>
      </c>
      <c r="S217" s="98"/>
      <c r="T217" s="99"/>
      <c r="U217" s="99"/>
      <c r="V217" s="98"/>
      <c r="W217" s="100"/>
      <c r="X217" s="118"/>
      <c r="Y217" s="75">
        <f t="shared" si="73"/>
        <v>0</v>
      </c>
      <c r="Z217" s="29">
        <f t="shared" si="39"/>
        <v>0</v>
      </c>
    </row>
    <row r="218" spans="1:26" ht="16.5" customHeight="1" hidden="1">
      <c r="A218" s="229" t="s">
        <v>168</v>
      </c>
      <c r="B218" s="230"/>
      <c r="C218" s="230"/>
      <c r="D218" s="230"/>
      <c r="E218" s="230"/>
      <c r="F218" s="231"/>
      <c r="G218" s="234" t="s">
        <v>43</v>
      </c>
      <c r="H218" s="235"/>
      <c r="I218" s="235"/>
      <c r="J218" s="235"/>
      <c r="K218" s="235"/>
      <c r="L218" s="235"/>
      <c r="M218" s="235"/>
      <c r="N218" s="235"/>
      <c r="O218" s="235"/>
      <c r="P218" s="235"/>
      <c r="Q218" s="235"/>
      <c r="R218" s="56">
        <f>SUM(S218:V218)</f>
        <v>0</v>
      </c>
      <c r="S218" s="98"/>
      <c r="T218" s="99"/>
      <c r="U218" s="99"/>
      <c r="V218" s="98"/>
      <c r="W218" s="100"/>
      <c r="X218" s="118"/>
      <c r="Y218" s="75">
        <f t="shared" si="73"/>
        <v>0</v>
      </c>
      <c r="Z218" s="29">
        <f t="shared" si="39"/>
        <v>0</v>
      </c>
    </row>
    <row r="219" spans="1:26" s="3" customFormat="1" ht="12.75">
      <c r="A219" s="209" t="s">
        <v>137</v>
      </c>
      <c r="B219" s="210"/>
      <c r="C219" s="210"/>
      <c r="D219" s="210"/>
      <c r="E219" s="210"/>
      <c r="F219" s="211"/>
      <c r="G219" s="212" t="s">
        <v>53</v>
      </c>
      <c r="H219" s="213"/>
      <c r="I219" s="213"/>
      <c r="J219" s="213"/>
      <c r="K219" s="213"/>
      <c r="L219" s="213"/>
      <c r="M219" s="213"/>
      <c r="N219" s="213"/>
      <c r="O219" s="213"/>
      <c r="P219" s="213"/>
      <c r="Q219" s="213"/>
      <c r="R219" s="54">
        <f>R220</f>
        <v>46500</v>
      </c>
      <c r="S219" s="90">
        <f aca="true" t="shared" si="84" ref="S219:X222">S220</f>
        <v>11625</v>
      </c>
      <c r="T219" s="31">
        <f t="shared" si="84"/>
        <v>11625</v>
      </c>
      <c r="U219" s="31">
        <f t="shared" si="84"/>
        <v>11625</v>
      </c>
      <c r="V219" s="90">
        <f t="shared" si="84"/>
        <v>11625</v>
      </c>
      <c r="W219" s="54">
        <f t="shared" si="84"/>
        <v>48300</v>
      </c>
      <c r="X219" s="116">
        <f t="shared" si="84"/>
        <v>49400</v>
      </c>
      <c r="Y219" s="75">
        <f t="shared" si="73"/>
        <v>46500</v>
      </c>
      <c r="Z219" s="29">
        <f t="shared" si="39"/>
        <v>0</v>
      </c>
    </row>
    <row r="220" spans="1:26" ht="24" customHeight="1">
      <c r="A220" s="214" t="s">
        <v>352</v>
      </c>
      <c r="B220" s="215"/>
      <c r="C220" s="215"/>
      <c r="D220" s="215"/>
      <c r="E220" s="215"/>
      <c r="F220" s="43"/>
      <c r="G220" s="217" t="s">
        <v>198</v>
      </c>
      <c r="H220" s="218"/>
      <c r="I220" s="218"/>
      <c r="J220" s="218"/>
      <c r="K220" s="218"/>
      <c r="L220" s="218"/>
      <c r="M220" s="218"/>
      <c r="N220" s="218"/>
      <c r="O220" s="218"/>
      <c r="P220" s="218"/>
      <c r="Q220" s="273"/>
      <c r="R220" s="55">
        <f>R221</f>
        <v>46500</v>
      </c>
      <c r="S220" s="65">
        <f t="shared" si="84"/>
        <v>11625</v>
      </c>
      <c r="T220" s="32">
        <f t="shared" si="84"/>
        <v>11625</v>
      </c>
      <c r="U220" s="32">
        <f t="shared" si="84"/>
        <v>11625</v>
      </c>
      <c r="V220" s="65">
        <f t="shared" si="84"/>
        <v>11625</v>
      </c>
      <c r="W220" s="55">
        <f t="shared" si="84"/>
        <v>48300</v>
      </c>
      <c r="X220" s="117">
        <f t="shared" si="84"/>
        <v>49400</v>
      </c>
      <c r="Y220" s="75">
        <f t="shared" si="73"/>
        <v>46500</v>
      </c>
      <c r="Z220" s="29">
        <f>R220-S220-T220-U220-V220</f>
        <v>0</v>
      </c>
    </row>
    <row r="221" spans="1:26" s="76" customFormat="1" ht="24" customHeight="1">
      <c r="A221" s="214" t="s">
        <v>353</v>
      </c>
      <c r="B221" s="215"/>
      <c r="C221" s="215"/>
      <c r="D221" s="215"/>
      <c r="E221" s="215"/>
      <c r="F221" s="43"/>
      <c r="G221" s="217" t="s">
        <v>200</v>
      </c>
      <c r="H221" s="218"/>
      <c r="I221" s="218"/>
      <c r="J221" s="218"/>
      <c r="K221" s="218"/>
      <c r="L221" s="218"/>
      <c r="M221" s="218"/>
      <c r="N221" s="218"/>
      <c r="O221" s="218"/>
      <c r="P221" s="218"/>
      <c r="Q221" s="273"/>
      <c r="R221" s="55">
        <f>R222</f>
        <v>46500</v>
      </c>
      <c r="S221" s="65">
        <f t="shared" si="84"/>
        <v>11625</v>
      </c>
      <c r="T221" s="32">
        <f t="shared" si="84"/>
        <v>11625</v>
      </c>
      <c r="U221" s="32">
        <f t="shared" si="84"/>
        <v>11625</v>
      </c>
      <c r="V221" s="65">
        <f t="shared" si="84"/>
        <v>11625</v>
      </c>
      <c r="W221" s="55">
        <f t="shared" si="84"/>
        <v>48300</v>
      </c>
      <c r="X221" s="117">
        <f t="shared" si="84"/>
        <v>49400</v>
      </c>
      <c r="Y221" s="75">
        <f t="shared" si="73"/>
        <v>46500</v>
      </c>
      <c r="Z221" s="29">
        <f>R221-S221-T221-U221-V221</f>
        <v>0</v>
      </c>
    </row>
    <row r="222" spans="1:26" s="76" customFormat="1" ht="24" customHeight="1">
      <c r="A222" s="214" t="s">
        <v>354</v>
      </c>
      <c r="B222" s="215"/>
      <c r="C222" s="215"/>
      <c r="D222" s="215"/>
      <c r="E222" s="215"/>
      <c r="F222" s="43"/>
      <c r="G222" s="217" t="s">
        <v>202</v>
      </c>
      <c r="H222" s="218"/>
      <c r="I222" s="218"/>
      <c r="J222" s="218"/>
      <c r="K222" s="218"/>
      <c r="L222" s="218"/>
      <c r="M222" s="218"/>
      <c r="N222" s="218"/>
      <c r="O222" s="218"/>
      <c r="P222" s="218"/>
      <c r="Q222" s="273"/>
      <c r="R222" s="55">
        <f>R223</f>
        <v>46500</v>
      </c>
      <c r="S222" s="65">
        <f t="shared" si="84"/>
        <v>11625</v>
      </c>
      <c r="T222" s="32">
        <f t="shared" si="84"/>
        <v>11625</v>
      </c>
      <c r="U222" s="32">
        <f t="shared" si="84"/>
        <v>11625</v>
      </c>
      <c r="V222" s="65">
        <f t="shared" si="84"/>
        <v>11625</v>
      </c>
      <c r="W222" s="55">
        <f t="shared" si="84"/>
        <v>48300</v>
      </c>
      <c r="X222" s="117">
        <f t="shared" si="84"/>
        <v>49400</v>
      </c>
      <c r="Y222" s="75">
        <f t="shared" si="73"/>
        <v>46500</v>
      </c>
      <c r="Z222" s="29">
        <f>R222-S222-T222-U222-V222</f>
        <v>0</v>
      </c>
    </row>
    <row r="223" spans="1:26" ht="12.75">
      <c r="A223" s="214" t="s">
        <v>355</v>
      </c>
      <c r="B223" s="215"/>
      <c r="C223" s="215"/>
      <c r="D223" s="215"/>
      <c r="E223" s="215"/>
      <c r="F223" s="216"/>
      <c r="G223" s="217" t="s">
        <v>41</v>
      </c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56">
        <f>SUM(S223:V223)</f>
        <v>46500</v>
      </c>
      <c r="S223" s="91">
        <f>11625</f>
        <v>11625</v>
      </c>
      <c r="T223" s="33">
        <f>11625</f>
        <v>11625</v>
      </c>
      <c r="U223" s="33">
        <f>11625</f>
        <v>11625</v>
      </c>
      <c r="V223" s="91">
        <f>11625</f>
        <v>11625</v>
      </c>
      <c r="W223" s="56">
        <v>48300</v>
      </c>
      <c r="X223" s="119">
        <v>49400</v>
      </c>
      <c r="Y223" s="75">
        <f t="shared" si="73"/>
        <v>46500</v>
      </c>
      <c r="Z223" s="29">
        <f t="shared" si="39"/>
        <v>0</v>
      </c>
    </row>
    <row r="224" spans="1:26" s="3" customFormat="1" ht="12.75">
      <c r="A224" s="209" t="s">
        <v>138</v>
      </c>
      <c r="B224" s="210"/>
      <c r="C224" s="210"/>
      <c r="D224" s="210"/>
      <c r="E224" s="210"/>
      <c r="F224" s="211"/>
      <c r="G224" s="212" t="s">
        <v>54</v>
      </c>
      <c r="H224" s="213"/>
      <c r="I224" s="213"/>
      <c r="J224" s="213"/>
      <c r="K224" s="213"/>
      <c r="L224" s="213"/>
      <c r="M224" s="213"/>
      <c r="N224" s="213"/>
      <c r="O224" s="213"/>
      <c r="P224" s="213"/>
      <c r="Q224" s="213"/>
      <c r="R224" s="54">
        <f>R225</f>
        <v>104700</v>
      </c>
      <c r="S224" s="90">
        <f aca="true" t="shared" si="85" ref="S224:X226">S225</f>
        <v>23175</v>
      </c>
      <c r="T224" s="31">
        <f t="shared" si="85"/>
        <v>32675</v>
      </c>
      <c r="U224" s="31">
        <f t="shared" si="85"/>
        <v>25675</v>
      </c>
      <c r="V224" s="90">
        <f t="shared" si="85"/>
        <v>23175</v>
      </c>
      <c r="W224" s="54">
        <f t="shared" si="85"/>
        <v>108500</v>
      </c>
      <c r="X224" s="116">
        <f t="shared" si="85"/>
        <v>111200</v>
      </c>
      <c r="Y224" s="75">
        <f t="shared" si="73"/>
        <v>104700</v>
      </c>
      <c r="Z224" s="29">
        <f t="shared" si="39"/>
        <v>0</v>
      </c>
    </row>
    <row r="225" spans="1:26" ht="24" customHeight="1">
      <c r="A225" s="214" t="s">
        <v>356</v>
      </c>
      <c r="B225" s="215"/>
      <c r="C225" s="215"/>
      <c r="D225" s="215"/>
      <c r="E225" s="215"/>
      <c r="F225" s="43"/>
      <c r="G225" s="217" t="s">
        <v>198</v>
      </c>
      <c r="H225" s="218"/>
      <c r="I225" s="218"/>
      <c r="J225" s="218"/>
      <c r="K225" s="218"/>
      <c r="L225" s="218"/>
      <c r="M225" s="218"/>
      <c r="N225" s="218"/>
      <c r="O225" s="218"/>
      <c r="P225" s="218"/>
      <c r="Q225" s="273"/>
      <c r="R225" s="55">
        <f>R226</f>
        <v>104700</v>
      </c>
      <c r="S225" s="65">
        <f t="shared" si="85"/>
        <v>23175</v>
      </c>
      <c r="T225" s="32">
        <f t="shared" si="85"/>
        <v>32675</v>
      </c>
      <c r="U225" s="32">
        <f t="shared" si="85"/>
        <v>25675</v>
      </c>
      <c r="V225" s="65">
        <f t="shared" si="85"/>
        <v>23175</v>
      </c>
      <c r="W225" s="55">
        <f t="shared" si="85"/>
        <v>108500</v>
      </c>
      <c r="X225" s="117">
        <f t="shared" si="85"/>
        <v>111200</v>
      </c>
      <c r="Y225" s="75">
        <f>SUM(S225:V225)</f>
        <v>104700</v>
      </c>
      <c r="Z225" s="29">
        <f t="shared" si="39"/>
        <v>0</v>
      </c>
    </row>
    <row r="226" spans="1:26" s="76" customFormat="1" ht="24" customHeight="1">
      <c r="A226" s="214" t="s">
        <v>357</v>
      </c>
      <c r="B226" s="215"/>
      <c r="C226" s="215"/>
      <c r="D226" s="215"/>
      <c r="E226" s="215"/>
      <c r="F226" s="43"/>
      <c r="G226" s="217" t="s">
        <v>200</v>
      </c>
      <c r="H226" s="218"/>
      <c r="I226" s="218"/>
      <c r="J226" s="218"/>
      <c r="K226" s="218"/>
      <c r="L226" s="218"/>
      <c r="M226" s="218"/>
      <c r="N226" s="218"/>
      <c r="O226" s="218"/>
      <c r="P226" s="218"/>
      <c r="Q226" s="273"/>
      <c r="R226" s="55">
        <f>R227</f>
        <v>104700</v>
      </c>
      <c r="S226" s="65">
        <f t="shared" si="85"/>
        <v>23175</v>
      </c>
      <c r="T226" s="32">
        <f t="shared" si="85"/>
        <v>32675</v>
      </c>
      <c r="U226" s="32">
        <f t="shared" si="85"/>
        <v>25675</v>
      </c>
      <c r="V226" s="65">
        <f t="shared" si="85"/>
        <v>23175</v>
      </c>
      <c r="W226" s="55">
        <f t="shared" si="85"/>
        <v>108500</v>
      </c>
      <c r="X226" s="117">
        <f t="shared" si="85"/>
        <v>111200</v>
      </c>
      <c r="Y226" s="75">
        <f>SUM(S226:V226)</f>
        <v>104700</v>
      </c>
      <c r="Z226" s="29">
        <f t="shared" si="39"/>
        <v>0</v>
      </c>
    </row>
    <row r="227" spans="1:26" s="76" customFormat="1" ht="24" customHeight="1">
      <c r="A227" s="214" t="s">
        <v>358</v>
      </c>
      <c r="B227" s="215"/>
      <c r="C227" s="215"/>
      <c r="D227" s="215"/>
      <c r="E227" s="215"/>
      <c r="F227" s="43"/>
      <c r="G227" s="217" t="s">
        <v>202</v>
      </c>
      <c r="H227" s="218"/>
      <c r="I227" s="218"/>
      <c r="J227" s="218"/>
      <c r="K227" s="218"/>
      <c r="L227" s="218"/>
      <c r="M227" s="218"/>
      <c r="N227" s="218"/>
      <c r="O227" s="218"/>
      <c r="P227" s="218"/>
      <c r="Q227" s="273"/>
      <c r="R227" s="55">
        <f>SUM(R228:R231)</f>
        <v>104700</v>
      </c>
      <c r="S227" s="65">
        <f aca="true" t="shared" si="86" ref="S227:X227">SUM(S228:S231)</f>
        <v>23175</v>
      </c>
      <c r="T227" s="32">
        <f t="shared" si="86"/>
        <v>32675</v>
      </c>
      <c r="U227" s="32">
        <f t="shared" si="86"/>
        <v>25675</v>
      </c>
      <c r="V227" s="65">
        <f t="shared" si="86"/>
        <v>23175</v>
      </c>
      <c r="W227" s="55">
        <f t="shared" si="86"/>
        <v>108500</v>
      </c>
      <c r="X227" s="117">
        <f t="shared" si="86"/>
        <v>111200</v>
      </c>
      <c r="Y227" s="75">
        <f>SUM(S227:V227)</f>
        <v>104700</v>
      </c>
      <c r="Z227" s="29">
        <f t="shared" si="39"/>
        <v>0</v>
      </c>
    </row>
    <row r="228" spans="1:26" ht="12.75">
      <c r="A228" s="214" t="s">
        <v>359</v>
      </c>
      <c r="B228" s="215"/>
      <c r="C228" s="215"/>
      <c r="D228" s="215"/>
      <c r="E228" s="215"/>
      <c r="F228" s="216"/>
      <c r="G228" s="217" t="s">
        <v>39</v>
      </c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56">
        <f>SUM(S228:V228)</f>
        <v>5000</v>
      </c>
      <c r="S228" s="102">
        <f>1250</f>
        <v>1250</v>
      </c>
      <c r="T228" s="103">
        <f>1250</f>
        <v>1250</v>
      </c>
      <c r="U228" s="103">
        <f>1250</f>
        <v>1250</v>
      </c>
      <c r="V228" s="102">
        <f>1250</f>
        <v>1250</v>
      </c>
      <c r="W228" s="123">
        <v>5000</v>
      </c>
      <c r="X228" s="120">
        <v>5000</v>
      </c>
      <c r="Y228" s="75">
        <f t="shared" si="73"/>
        <v>5000</v>
      </c>
      <c r="Z228" s="29">
        <f t="shared" si="39"/>
        <v>0</v>
      </c>
    </row>
    <row r="229" spans="1:26" ht="12.75">
      <c r="A229" s="214" t="s">
        <v>360</v>
      </c>
      <c r="B229" s="215"/>
      <c r="C229" s="215"/>
      <c r="D229" s="215"/>
      <c r="E229" s="215"/>
      <c r="F229" s="216"/>
      <c r="G229" s="217" t="s">
        <v>41</v>
      </c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56">
        <f>SUM(S229:V229)</f>
        <v>88700</v>
      </c>
      <c r="S229" s="102">
        <f>20425</f>
        <v>20425</v>
      </c>
      <c r="T229" s="103">
        <f>27425</f>
        <v>27425</v>
      </c>
      <c r="U229" s="103">
        <f>20425</f>
        <v>20425</v>
      </c>
      <c r="V229" s="102">
        <f>20425</f>
        <v>20425</v>
      </c>
      <c r="W229" s="123">
        <v>87500</v>
      </c>
      <c r="X229" s="120">
        <v>90200</v>
      </c>
      <c r="Y229" s="75">
        <f t="shared" si="73"/>
        <v>88700</v>
      </c>
      <c r="Z229" s="29">
        <f t="shared" si="39"/>
        <v>0</v>
      </c>
    </row>
    <row r="230" spans="1:26" ht="12.75">
      <c r="A230" s="214" t="s">
        <v>361</v>
      </c>
      <c r="B230" s="215"/>
      <c r="C230" s="215"/>
      <c r="D230" s="215"/>
      <c r="E230" s="215"/>
      <c r="F230" s="216"/>
      <c r="G230" s="217" t="s">
        <v>42</v>
      </c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56">
        <f>SUM(S230:V230)</f>
        <v>5000</v>
      </c>
      <c r="S230" s="102">
        <v>0</v>
      </c>
      <c r="T230" s="103">
        <f>2500</f>
        <v>2500</v>
      </c>
      <c r="U230" s="103">
        <f>2500</f>
        <v>2500</v>
      </c>
      <c r="V230" s="102">
        <v>0</v>
      </c>
      <c r="W230" s="123">
        <v>10000</v>
      </c>
      <c r="X230" s="120">
        <v>10000</v>
      </c>
      <c r="Y230" s="75">
        <f t="shared" si="73"/>
        <v>5000</v>
      </c>
      <c r="Z230" s="29">
        <f t="shared" si="39"/>
        <v>0</v>
      </c>
    </row>
    <row r="231" spans="1:26" ht="12.75">
      <c r="A231" s="214" t="s">
        <v>362</v>
      </c>
      <c r="B231" s="215"/>
      <c r="C231" s="215"/>
      <c r="D231" s="215"/>
      <c r="E231" s="215"/>
      <c r="F231" s="216"/>
      <c r="G231" s="173" t="s">
        <v>71</v>
      </c>
      <c r="H231" s="174"/>
      <c r="I231" s="174"/>
      <c r="J231" s="174"/>
      <c r="K231" s="174"/>
      <c r="L231" s="174"/>
      <c r="M231" s="174"/>
      <c r="N231" s="174"/>
      <c r="O231" s="174"/>
      <c r="P231" s="174"/>
      <c r="Q231" s="174"/>
      <c r="R231" s="56">
        <f>SUM(S231:V231)</f>
        <v>6000</v>
      </c>
      <c r="S231" s="102">
        <f>1500</f>
        <v>1500</v>
      </c>
      <c r="T231" s="103">
        <f>1500</f>
        <v>1500</v>
      </c>
      <c r="U231" s="103">
        <f>1500</f>
        <v>1500</v>
      </c>
      <c r="V231" s="102">
        <f>1500</f>
        <v>1500</v>
      </c>
      <c r="W231" s="123">
        <v>6000</v>
      </c>
      <c r="X231" s="120">
        <v>6000</v>
      </c>
      <c r="Y231" s="75">
        <f t="shared" si="73"/>
        <v>6000</v>
      </c>
      <c r="Z231" s="29">
        <f t="shared" si="39"/>
        <v>0</v>
      </c>
    </row>
    <row r="232" spans="1:26" s="3" customFormat="1" ht="21.75" customHeight="1">
      <c r="A232" s="209" t="s">
        <v>139</v>
      </c>
      <c r="B232" s="210"/>
      <c r="C232" s="210"/>
      <c r="D232" s="210"/>
      <c r="E232" s="210"/>
      <c r="F232" s="211"/>
      <c r="G232" s="212" t="s">
        <v>55</v>
      </c>
      <c r="H232" s="213"/>
      <c r="I232" s="213"/>
      <c r="J232" s="213"/>
      <c r="K232" s="213"/>
      <c r="L232" s="213"/>
      <c r="M232" s="213"/>
      <c r="N232" s="213"/>
      <c r="O232" s="213"/>
      <c r="P232" s="213"/>
      <c r="Q232" s="213"/>
      <c r="R232" s="54">
        <f>R233+R242</f>
        <v>458800</v>
      </c>
      <c r="S232" s="90">
        <f aca="true" t="shared" si="87" ref="S232:X232">S233+S242</f>
        <v>114700</v>
      </c>
      <c r="T232" s="31">
        <f t="shared" si="87"/>
        <v>114700</v>
      </c>
      <c r="U232" s="31">
        <f t="shared" si="87"/>
        <v>114700</v>
      </c>
      <c r="V232" s="90">
        <f t="shared" si="87"/>
        <v>114700</v>
      </c>
      <c r="W232" s="54">
        <f t="shared" si="87"/>
        <v>475700</v>
      </c>
      <c r="X232" s="116">
        <f t="shared" si="87"/>
        <v>487200</v>
      </c>
      <c r="Y232" s="75">
        <f t="shared" si="73"/>
        <v>458800</v>
      </c>
      <c r="Z232" s="29">
        <f aca="true" t="shared" si="88" ref="Z232:Z289">R232-S232-T232-U232-V232</f>
        <v>0</v>
      </c>
    </row>
    <row r="233" spans="1:26" ht="24" customHeight="1">
      <c r="A233" s="214" t="s">
        <v>363</v>
      </c>
      <c r="B233" s="215"/>
      <c r="C233" s="215"/>
      <c r="D233" s="215"/>
      <c r="E233" s="215"/>
      <c r="F233" s="43"/>
      <c r="G233" s="217" t="s">
        <v>198</v>
      </c>
      <c r="H233" s="218"/>
      <c r="I233" s="218"/>
      <c r="J233" s="218"/>
      <c r="K233" s="218"/>
      <c r="L233" s="218"/>
      <c r="M233" s="218"/>
      <c r="N233" s="218"/>
      <c r="O233" s="218"/>
      <c r="P233" s="218"/>
      <c r="Q233" s="273"/>
      <c r="R233" s="55">
        <f>R234</f>
        <v>458800</v>
      </c>
      <c r="S233" s="65">
        <f aca="true" t="shared" si="89" ref="S233:X234">S234</f>
        <v>114700</v>
      </c>
      <c r="T233" s="32">
        <f t="shared" si="89"/>
        <v>114700</v>
      </c>
      <c r="U233" s="32">
        <f t="shared" si="89"/>
        <v>114700</v>
      </c>
      <c r="V233" s="65">
        <f t="shared" si="89"/>
        <v>114700</v>
      </c>
      <c r="W233" s="55">
        <f t="shared" si="89"/>
        <v>475700</v>
      </c>
      <c r="X233" s="117">
        <f t="shared" si="89"/>
        <v>487200</v>
      </c>
      <c r="Y233" s="75">
        <f t="shared" si="73"/>
        <v>458800</v>
      </c>
      <c r="Z233" s="29">
        <f t="shared" si="88"/>
        <v>0</v>
      </c>
    </row>
    <row r="234" spans="1:26" s="76" customFormat="1" ht="24" customHeight="1">
      <c r="A234" s="214" t="s">
        <v>364</v>
      </c>
      <c r="B234" s="215"/>
      <c r="C234" s="215"/>
      <c r="D234" s="215"/>
      <c r="E234" s="215"/>
      <c r="F234" s="43"/>
      <c r="G234" s="217" t="s">
        <v>200</v>
      </c>
      <c r="H234" s="218"/>
      <c r="I234" s="218"/>
      <c r="J234" s="218"/>
      <c r="K234" s="218"/>
      <c r="L234" s="218"/>
      <c r="M234" s="218"/>
      <c r="N234" s="218"/>
      <c r="O234" s="218"/>
      <c r="P234" s="218"/>
      <c r="Q234" s="273"/>
      <c r="R234" s="55">
        <f>R235</f>
        <v>458800</v>
      </c>
      <c r="S234" s="65">
        <f t="shared" si="89"/>
        <v>114700</v>
      </c>
      <c r="T234" s="32">
        <f t="shared" si="89"/>
        <v>114700</v>
      </c>
      <c r="U234" s="32">
        <f t="shared" si="89"/>
        <v>114700</v>
      </c>
      <c r="V234" s="65">
        <f t="shared" si="89"/>
        <v>114700</v>
      </c>
      <c r="W234" s="55">
        <f t="shared" si="89"/>
        <v>475700</v>
      </c>
      <c r="X234" s="117">
        <f t="shared" si="89"/>
        <v>487200</v>
      </c>
      <c r="Y234" s="75">
        <f t="shared" si="73"/>
        <v>458800</v>
      </c>
      <c r="Z234" s="29">
        <f t="shared" si="88"/>
        <v>0</v>
      </c>
    </row>
    <row r="235" spans="1:26" s="76" customFormat="1" ht="24" customHeight="1">
      <c r="A235" s="214" t="s">
        <v>365</v>
      </c>
      <c r="B235" s="215"/>
      <c r="C235" s="215"/>
      <c r="D235" s="215"/>
      <c r="E235" s="215"/>
      <c r="F235" s="43"/>
      <c r="G235" s="217" t="s">
        <v>202</v>
      </c>
      <c r="H235" s="218"/>
      <c r="I235" s="218"/>
      <c r="J235" s="218"/>
      <c r="K235" s="218"/>
      <c r="L235" s="218"/>
      <c r="M235" s="218"/>
      <c r="N235" s="218"/>
      <c r="O235" s="218"/>
      <c r="P235" s="218"/>
      <c r="Q235" s="273"/>
      <c r="R235" s="55">
        <f>SUM(R236:R241)</f>
        <v>458800</v>
      </c>
      <c r="S235" s="65">
        <f aca="true" t="shared" si="90" ref="S235:X235">SUM(S236:S241)</f>
        <v>114700</v>
      </c>
      <c r="T235" s="32">
        <f t="shared" si="90"/>
        <v>114700</v>
      </c>
      <c r="U235" s="32">
        <f t="shared" si="90"/>
        <v>114700</v>
      </c>
      <c r="V235" s="65">
        <f t="shared" si="90"/>
        <v>114700</v>
      </c>
      <c r="W235" s="55">
        <f t="shared" si="90"/>
        <v>475700</v>
      </c>
      <c r="X235" s="117">
        <f t="shared" si="90"/>
        <v>487200</v>
      </c>
      <c r="Y235" s="75">
        <f t="shared" si="73"/>
        <v>458800</v>
      </c>
      <c r="Z235" s="29">
        <f t="shared" si="88"/>
        <v>0</v>
      </c>
    </row>
    <row r="236" spans="1:26" ht="12.75">
      <c r="A236" s="214" t="s">
        <v>366</v>
      </c>
      <c r="B236" s="215"/>
      <c r="C236" s="215"/>
      <c r="D236" s="215"/>
      <c r="E236" s="215"/>
      <c r="F236" s="216"/>
      <c r="G236" s="217" t="s">
        <v>39</v>
      </c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56">
        <f aca="true" t="shared" si="91" ref="R236:R245">SUM(S236:V236)</f>
        <v>46000</v>
      </c>
      <c r="S236" s="102">
        <f>11500</f>
        <v>11500</v>
      </c>
      <c r="T236" s="103">
        <f>11500</f>
        <v>11500</v>
      </c>
      <c r="U236" s="103">
        <f>11500</f>
        <v>11500</v>
      </c>
      <c r="V236" s="102">
        <f>11500</f>
        <v>11500</v>
      </c>
      <c r="W236" s="123">
        <v>46000</v>
      </c>
      <c r="X236" s="120">
        <v>46000</v>
      </c>
      <c r="Y236" s="75">
        <f t="shared" si="73"/>
        <v>46000</v>
      </c>
      <c r="Z236" s="29">
        <f t="shared" si="88"/>
        <v>0</v>
      </c>
    </row>
    <row r="237" spans="1:26" ht="12.75">
      <c r="A237" s="214" t="s">
        <v>367</v>
      </c>
      <c r="B237" s="215"/>
      <c r="C237" s="215"/>
      <c r="D237" s="215"/>
      <c r="E237" s="215"/>
      <c r="F237" s="216"/>
      <c r="G237" s="217" t="s">
        <v>40</v>
      </c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56">
        <f t="shared" si="91"/>
        <v>0</v>
      </c>
      <c r="S237" s="102">
        <v>0</v>
      </c>
      <c r="T237" s="103">
        <v>0</v>
      </c>
      <c r="U237" s="103">
        <v>0</v>
      </c>
      <c r="V237" s="102">
        <v>0</v>
      </c>
      <c r="W237" s="123">
        <v>0</v>
      </c>
      <c r="X237" s="120">
        <v>0</v>
      </c>
      <c r="Y237" s="75">
        <f t="shared" si="73"/>
        <v>0</v>
      </c>
      <c r="Z237" s="29">
        <f t="shared" si="88"/>
        <v>0</v>
      </c>
    </row>
    <row r="238" spans="1:26" ht="12.75">
      <c r="A238" s="214" t="s">
        <v>368</v>
      </c>
      <c r="B238" s="215"/>
      <c r="C238" s="215"/>
      <c r="D238" s="215"/>
      <c r="E238" s="215"/>
      <c r="F238" s="216"/>
      <c r="G238" s="217" t="s">
        <v>41</v>
      </c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56">
        <f t="shared" si="91"/>
        <v>246000</v>
      </c>
      <c r="S238" s="102">
        <f>61500</f>
        <v>61500</v>
      </c>
      <c r="T238" s="103">
        <f>61500</f>
        <v>61500</v>
      </c>
      <c r="U238" s="103">
        <f>61500</f>
        <v>61500</v>
      </c>
      <c r="V238" s="102">
        <f>61500</f>
        <v>61500</v>
      </c>
      <c r="W238" s="123">
        <v>253900</v>
      </c>
      <c r="X238" s="120">
        <v>265400</v>
      </c>
      <c r="Y238" s="75">
        <f t="shared" si="73"/>
        <v>246000</v>
      </c>
      <c r="Z238" s="29">
        <f t="shared" si="88"/>
        <v>0</v>
      </c>
    </row>
    <row r="239" spans="1:26" ht="12.75">
      <c r="A239" s="214" t="s">
        <v>369</v>
      </c>
      <c r="B239" s="215"/>
      <c r="C239" s="215"/>
      <c r="D239" s="215"/>
      <c r="E239" s="215"/>
      <c r="F239" s="216"/>
      <c r="G239" s="217" t="s">
        <v>42</v>
      </c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56">
        <f t="shared" si="91"/>
        <v>71000</v>
      </c>
      <c r="S239" s="102">
        <f>17750</f>
        <v>17750</v>
      </c>
      <c r="T239" s="103">
        <f>17750</f>
        <v>17750</v>
      </c>
      <c r="U239" s="103">
        <f>17750</f>
        <v>17750</v>
      </c>
      <c r="V239" s="102">
        <f>17750</f>
        <v>17750</v>
      </c>
      <c r="W239" s="123">
        <v>80000</v>
      </c>
      <c r="X239" s="120">
        <v>80000</v>
      </c>
      <c r="Y239" s="75">
        <f t="shared" si="73"/>
        <v>71000</v>
      </c>
      <c r="Z239" s="29">
        <f t="shared" si="88"/>
        <v>0</v>
      </c>
    </row>
    <row r="240" spans="1:26" ht="12.75">
      <c r="A240" s="214" t="s">
        <v>370</v>
      </c>
      <c r="B240" s="215"/>
      <c r="C240" s="215"/>
      <c r="D240" s="215"/>
      <c r="E240" s="215"/>
      <c r="F240" s="216"/>
      <c r="G240" s="217" t="s">
        <v>43</v>
      </c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56">
        <f>SUM(S240:V240)</f>
        <v>0</v>
      </c>
      <c r="S240" s="102">
        <v>0</v>
      </c>
      <c r="T240" s="103">
        <v>0</v>
      </c>
      <c r="U240" s="103">
        <v>0</v>
      </c>
      <c r="V240" s="102">
        <v>0</v>
      </c>
      <c r="W240" s="123">
        <v>0</v>
      </c>
      <c r="X240" s="120">
        <v>0</v>
      </c>
      <c r="Y240" s="75">
        <f>SUM(S240:V240)</f>
        <v>0</v>
      </c>
      <c r="Z240" s="29">
        <f>R240-S240-T240-U240-V240</f>
        <v>0</v>
      </c>
    </row>
    <row r="241" spans="1:26" ht="12.75">
      <c r="A241" s="214" t="s">
        <v>371</v>
      </c>
      <c r="B241" s="215"/>
      <c r="C241" s="215"/>
      <c r="D241" s="215"/>
      <c r="E241" s="215"/>
      <c r="F241" s="216"/>
      <c r="G241" s="173" t="s">
        <v>71</v>
      </c>
      <c r="H241" s="174"/>
      <c r="I241" s="174"/>
      <c r="J241" s="174"/>
      <c r="K241" s="174"/>
      <c r="L241" s="174"/>
      <c r="M241" s="174"/>
      <c r="N241" s="174"/>
      <c r="O241" s="174"/>
      <c r="P241" s="174"/>
      <c r="Q241" s="174"/>
      <c r="R241" s="56">
        <f>SUM(S241:V241)</f>
        <v>95800</v>
      </c>
      <c r="S241" s="102">
        <f>23950</f>
        <v>23950</v>
      </c>
      <c r="T241" s="103">
        <f>23950</f>
        <v>23950</v>
      </c>
      <c r="U241" s="103">
        <f>23950</f>
        <v>23950</v>
      </c>
      <c r="V241" s="102">
        <f>23950</f>
        <v>23950</v>
      </c>
      <c r="W241" s="123">
        <v>95800</v>
      </c>
      <c r="X241" s="120">
        <v>95800</v>
      </c>
      <c r="Y241" s="75">
        <f>SUM(S241:V241)</f>
        <v>95800</v>
      </c>
      <c r="Z241" s="29">
        <f>R241-S241-T241-U241-V241</f>
        <v>0</v>
      </c>
    </row>
    <row r="242" spans="1:26" ht="12.75" customHeight="1" hidden="1">
      <c r="A242" s="214" t="s">
        <v>373</v>
      </c>
      <c r="B242" s="215"/>
      <c r="C242" s="215"/>
      <c r="D242" s="215"/>
      <c r="E242" s="215"/>
      <c r="F242" s="216"/>
      <c r="G242" s="217" t="s">
        <v>248</v>
      </c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55">
        <f>R243</f>
        <v>0</v>
      </c>
      <c r="S242" s="65">
        <f aca="true" t="shared" si="92" ref="S242:X244">S243</f>
        <v>0</v>
      </c>
      <c r="T242" s="32">
        <f t="shared" si="92"/>
        <v>0</v>
      </c>
      <c r="U242" s="32">
        <f t="shared" si="92"/>
        <v>0</v>
      </c>
      <c r="V242" s="65">
        <f t="shared" si="92"/>
        <v>0</v>
      </c>
      <c r="W242" s="131">
        <f t="shared" si="92"/>
        <v>0</v>
      </c>
      <c r="X242" s="130">
        <f t="shared" si="92"/>
        <v>0</v>
      </c>
      <c r="Y242" s="29">
        <f>SUM(S242:V242)</f>
        <v>0</v>
      </c>
      <c r="Z242" s="29">
        <f>R242-S242-T242-U242-V242</f>
        <v>0</v>
      </c>
    </row>
    <row r="243" spans="1:26" ht="12.75" customHeight="1" hidden="1">
      <c r="A243" s="214" t="s">
        <v>374</v>
      </c>
      <c r="B243" s="215"/>
      <c r="C243" s="215"/>
      <c r="D243" s="215"/>
      <c r="E243" s="215"/>
      <c r="F243" s="216"/>
      <c r="G243" s="217" t="s">
        <v>249</v>
      </c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55">
        <f>R244</f>
        <v>0</v>
      </c>
      <c r="S243" s="65">
        <f t="shared" si="92"/>
        <v>0</v>
      </c>
      <c r="T243" s="32">
        <f t="shared" si="92"/>
        <v>0</v>
      </c>
      <c r="U243" s="32">
        <f t="shared" si="92"/>
        <v>0</v>
      </c>
      <c r="V243" s="65">
        <f t="shared" si="92"/>
        <v>0</v>
      </c>
      <c r="W243" s="131">
        <f t="shared" si="92"/>
        <v>0</v>
      </c>
      <c r="X243" s="130">
        <f t="shared" si="92"/>
        <v>0</v>
      </c>
      <c r="Y243" s="29">
        <f>SUM(S243:V243)</f>
        <v>0</v>
      </c>
      <c r="Z243" s="29">
        <f>R243-S243-T243-U243-V243</f>
        <v>0</v>
      </c>
    </row>
    <row r="244" spans="1:26" ht="12.75" customHeight="1" hidden="1">
      <c r="A244" s="214" t="s">
        <v>375</v>
      </c>
      <c r="B244" s="215"/>
      <c r="C244" s="215"/>
      <c r="D244" s="215"/>
      <c r="E244" s="215"/>
      <c r="F244" s="216"/>
      <c r="G244" s="217" t="s">
        <v>250</v>
      </c>
      <c r="H244" s="218"/>
      <c r="I244" s="218"/>
      <c r="J244" s="218"/>
      <c r="K244" s="218"/>
      <c r="L244" s="218"/>
      <c r="M244" s="218"/>
      <c r="N244" s="218"/>
      <c r="O244" s="218"/>
      <c r="P244" s="218"/>
      <c r="Q244" s="218"/>
      <c r="R244" s="55">
        <f>R245</f>
        <v>0</v>
      </c>
      <c r="S244" s="65">
        <f t="shared" si="92"/>
        <v>0</v>
      </c>
      <c r="T244" s="32">
        <f t="shared" si="92"/>
        <v>0</v>
      </c>
      <c r="U244" s="32">
        <f t="shared" si="92"/>
        <v>0</v>
      </c>
      <c r="V244" s="65">
        <f t="shared" si="92"/>
        <v>0</v>
      </c>
      <c r="W244" s="131">
        <f t="shared" si="92"/>
        <v>0</v>
      </c>
      <c r="X244" s="130">
        <f t="shared" si="92"/>
        <v>0</v>
      </c>
      <c r="Y244" s="29">
        <f>SUM(S244:V244)</f>
        <v>0</v>
      </c>
      <c r="Z244" s="29">
        <f>R244-S244-T244-U244-V244</f>
        <v>0</v>
      </c>
    </row>
    <row r="245" spans="1:26" ht="12.75" hidden="1">
      <c r="A245" s="214" t="s">
        <v>372</v>
      </c>
      <c r="B245" s="215"/>
      <c r="C245" s="215"/>
      <c r="D245" s="215"/>
      <c r="E245" s="215"/>
      <c r="F245" s="216"/>
      <c r="G245" s="217" t="s">
        <v>72</v>
      </c>
      <c r="H245" s="218"/>
      <c r="I245" s="218"/>
      <c r="J245" s="218"/>
      <c r="K245" s="218"/>
      <c r="L245" s="218"/>
      <c r="M245" s="218"/>
      <c r="N245" s="218"/>
      <c r="O245" s="218"/>
      <c r="P245" s="218"/>
      <c r="Q245" s="218"/>
      <c r="R245" s="56">
        <f t="shared" si="91"/>
        <v>0</v>
      </c>
      <c r="S245" s="102">
        <v>0</v>
      </c>
      <c r="T245" s="103">
        <v>0</v>
      </c>
      <c r="U245" s="103">
        <v>0</v>
      </c>
      <c r="V245" s="102">
        <v>0</v>
      </c>
      <c r="W245" s="123">
        <v>0</v>
      </c>
      <c r="X245" s="120">
        <v>0</v>
      </c>
      <c r="Y245" s="75">
        <f t="shared" si="73"/>
        <v>0</v>
      </c>
      <c r="Z245" s="29">
        <f t="shared" si="88"/>
        <v>0</v>
      </c>
    </row>
    <row r="246" spans="1:26" s="4" customFormat="1" ht="12.75" hidden="1">
      <c r="A246" s="200" t="s">
        <v>140</v>
      </c>
      <c r="B246" s="201"/>
      <c r="C246" s="201"/>
      <c r="D246" s="201"/>
      <c r="E246" s="201"/>
      <c r="F246" s="202"/>
      <c r="G246" s="277" t="s">
        <v>70</v>
      </c>
      <c r="H246" s="278"/>
      <c r="I246" s="278"/>
      <c r="J246" s="278"/>
      <c r="K246" s="278"/>
      <c r="L246" s="278"/>
      <c r="M246" s="278"/>
      <c r="N246" s="278"/>
      <c r="O246" s="278"/>
      <c r="P246" s="278"/>
      <c r="Q246" s="278"/>
      <c r="R246" s="38">
        <f>R247</f>
        <v>0</v>
      </c>
      <c r="S246" s="64">
        <f aca="true" t="shared" si="93" ref="S246:X246">S247</f>
        <v>0</v>
      </c>
      <c r="T246" s="30">
        <f t="shared" si="93"/>
        <v>0</v>
      </c>
      <c r="U246" s="30">
        <f t="shared" si="93"/>
        <v>0</v>
      </c>
      <c r="V246" s="64">
        <f t="shared" si="93"/>
        <v>0</v>
      </c>
      <c r="W246" s="38">
        <f t="shared" si="93"/>
        <v>0</v>
      </c>
      <c r="X246" s="114">
        <f t="shared" si="93"/>
        <v>0</v>
      </c>
      <c r="Y246" s="75">
        <f t="shared" si="73"/>
        <v>0</v>
      </c>
      <c r="Z246" s="29">
        <f t="shared" si="88"/>
        <v>0</v>
      </c>
    </row>
    <row r="247" spans="1:26" s="3" customFormat="1" ht="12.75" hidden="1">
      <c r="A247" s="209" t="s">
        <v>141</v>
      </c>
      <c r="B247" s="210"/>
      <c r="C247" s="210"/>
      <c r="D247" s="210"/>
      <c r="E247" s="210"/>
      <c r="F247" s="211"/>
      <c r="G247" s="251" t="s">
        <v>96</v>
      </c>
      <c r="H247" s="252"/>
      <c r="I247" s="252"/>
      <c r="J247" s="252"/>
      <c r="K247" s="252"/>
      <c r="L247" s="252"/>
      <c r="M247" s="252"/>
      <c r="N247" s="252"/>
      <c r="O247" s="252"/>
      <c r="P247" s="252"/>
      <c r="Q247" s="252"/>
      <c r="R247" s="54">
        <f>R248+R253</f>
        <v>0</v>
      </c>
      <c r="S247" s="90">
        <f aca="true" t="shared" si="94" ref="S247:X247">S248+S253</f>
        <v>0</v>
      </c>
      <c r="T247" s="31">
        <f t="shared" si="94"/>
        <v>0</v>
      </c>
      <c r="U247" s="31">
        <f t="shared" si="94"/>
        <v>0</v>
      </c>
      <c r="V247" s="90">
        <f t="shared" si="94"/>
        <v>0</v>
      </c>
      <c r="W247" s="54">
        <f t="shared" si="94"/>
        <v>0</v>
      </c>
      <c r="X247" s="116">
        <f t="shared" si="94"/>
        <v>0</v>
      </c>
      <c r="Y247" s="75">
        <f t="shared" si="73"/>
        <v>0</v>
      </c>
      <c r="Z247" s="29">
        <f t="shared" si="88"/>
        <v>0</v>
      </c>
    </row>
    <row r="248" spans="1:26" ht="24" customHeight="1" hidden="1">
      <c r="A248" s="214" t="s">
        <v>379</v>
      </c>
      <c r="B248" s="215"/>
      <c r="C248" s="215"/>
      <c r="D248" s="215"/>
      <c r="E248" s="215"/>
      <c r="F248" s="43"/>
      <c r="G248" s="217" t="s">
        <v>198</v>
      </c>
      <c r="H248" s="218"/>
      <c r="I248" s="218"/>
      <c r="J248" s="218"/>
      <c r="K248" s="218"/>
      <c r="L248" s="218"/>
      <c r="M248" s="218"/>
      <c r="N248" s="218"/>
      <c r="O248" s="218"/>
      <c r="P248" s="218"/>
      <c r="Q248" s="273"/>
      <c r="R248" s="55">
        <f aca="true" t="shared" si="95" ref="R248:X249">R249</f>
        <v>0</v>
      </c>
      <c r="S248" s="65">
        <f t="shared" si="95"/>
        <v>0</v>
      </c>
      <c r="T248" s="32">
        <f t="shared" si="95"/>
        <v>0</v>
      </c>
      <c r="U248" s="32">
        <f t="shared" si="95"/>
        <v>0</v>
      </c>
      <c r="V248" s="65">
        <f t="shared" si="95"/>
        <v>0</v>
      </c>
      <c r="W248" s="55">
        <f t="shared" si="95"/>
        <v>0</v>
      </c>
      <c r="X248" s="117">
        <f t="shared" si="95"/>
        <v>0</v>
      </c>
      <c r="Y248" s="75">
        <f t="shared" si="73"/>
        <v>0</v>
      </c>
      <c r="Z248" s="29">
        <f t="shared" si="88"/>
        <v>0</v>
      </c>
    </row>
    <row r="249" spans="1:26" s="76" customFormat="1" ht="24" customHeight="1" hidden="1">
      <c r="A249" s="214" t="s">
        <v>380</v>
      </c>
      <c r="B249" s="215"/>
      <c r="C249" s="215"/>
      <c r="D249" s="215"/>
      <c r="E249" s="215"/>
      <c r="F249" s="43"/>
      <c r="G249" s="217" t="s">
        <v>200</v>
      </c>
      <c r="H249" s="218"/>
      <c r="I249" s="218"/>
      <c r="J249" s="218"/>
      <c r="K249" s="218"/>
      <c r="L249" s="218"/>
      <c r="M249" s="218"/>
      <c r="N249" s="218"/>
      <c r="O249" s="218"/>
      <c r="P249" s="218"/>
      <c r="Q249" s="273"/>
      <c r="R249" s="55">
        <f t="shared" si="95"/>
        <v>0</v>
      </c>
      <c r="S249" s="65">
        <f t="shared" si="95"/>
        <v>0</v>
      </c>
      <c r="T249" s="32">
        <f t="shared" si="95"/>
        <v>0</v>
      </c>
      <c r="U249" s="32">
        <f t="shared" si="95"/>
        <v>0</v>
      </c>
      <c r="V249" s="65">
        <f t="shared" si="95"/>
        <v>0</v>
      </c>
      <c r="W249" s="55">
        <f t="shared" si="95"/>
        <v>0</v>
      </c>
      <c r="X249" s="117">
        <f t="shared" si="95"/>
        <v>0</v>
      </c>
      <c r="Y249" s="75">
        <f t="shared" si="73"/>
        <v>0</v>
      </c>
      <c r="Z249" s="29">
        <f t="shared" si="88"/>
        <v>0</v>
      </c>
    </row>
    <row r="250" spans="1:26" s="76" customFormat="1" ht="24" customHeight="1" hidden="1">
      <c r="A250" s="214" t="s">
        <v>381</v>
      </c>
      <c r="B250" s="215"/>
      <c r="C250" s="215"/>
      <c r="D250" s="215"/>
      <c r="E250" s="215"/>
      <c r="F250" s="43"/>
      <c r="G250" s="217" t="s">
        <v>202</v>
      </c>
      <c r="H250" s="218"/>
      <c r="I250" s="218"/>
      <c r="J250" s="218"/>
      <c r="K250" s="218"/>
      <c r="L250" s="218"/>
      <c r="M250" s="218"/>
      <c r="N250" s="218"/>
      <c r="O250" s="218"/>
      <c r="P250" s="218"/>
      <c r="Q250" s="273"/>
      <c r="R250" s="55">
        <f>R251+R252</f>
        <v>0</v>
      </c>
      <c r="S250" s="65">
        <f aca="true" t="shared" si="96" ref="S250:X250">S251+S252</f>
        <v>0</v>
      </c>
      <c r="T250" s="32">
        <f t="shared" si="96"/>
        <v>0</v>
      </c>
      <c r="U250" s="32">
        <f t="shared" si="96"/>
        <v>0</v>
      </c>
      <c r="V250" s="65">
        <f t="shared" si="96"/>
        <v>0</v>
      </c>
      <c r="W250" s="55">
        <f t="shared" si="96"/>
        <v>0</v>
      </c>
      <c r="X250" s="117">
        <f t="shared" si="96"/>
        <v>0</v>
      </c>
      <c r="Y250" s="75">
        <f t="shared" si="73"/>
        <v>0</v>
      </c>
      <c r="Z250" s="29">
        <f t="shared" si="88"/>
        <v>0</v>
      </c>
    </row>
    <row r="251" spans="1:26" ht="12.75" hidden="1">
      <c r="A251" s="214" t="s">
        <v>382</v>
      </c>
      <c r="B251" s="215"/>
      <c r="C251" s="215"/>
      <c r="D251" s="215"/>
      <c r="E251" s="215"/>
      <c r="F251" s="216"/>
      <c r="G251" s="217" t="s">
        <v>43</v>
      </c>
      <c r="H251" s="218"/>
      <c r="I251" s="218"/>
      <c r="J251" s="218"/>
      <c r="K251" s="218"/>
      <c r="L251" s="218"/>
      <c r="M251" s="218"/>
      <c r="N251" s="218"/>
      <c r="O251" s="218"/>
      <c r="P251" s="218"/>
      <c r="Q251" s="218"/>
      <c r="R251" s="56">
        <f>SUM(S251:V251)</f>
        <v>0</v>
      </c>
      <c r="S251" s="102">
        <v>0</v>
      </c>
      <c r="T251" s="103">
        <v>0</v>
      </c>
      <c r="U251" s="103">
        <v>0</v>
      </c>
      <c r="V251" s="102">
        <v>0</v>
      </c>
      <c r="W251" s="123">
        <v>0</v>
      </c>
      <c r="X251" s="120">
        <v>0</v>
      </c>
      <c r="Y251" s="75">
        <f>SUM(S251:V251)</f>
        <v>0</v>
      </c>
      <c r="Z251" s="29">
        <f aca="true" t="shared" si="97" ref="Z251:Z257">R251-S251-T251-U251-V251</f>
        <v>0</v>
      </c>
    </row>
    <row r="252" spans="1:26" ht="12.75" hidden="1">
      <c r="A252" s="214" t="s">
        <v>383</v>
      </c>
      <c r="B252" s="215"/>
      <c r="C252" s="215"/>
      <c r="D252" s="215"/>
      <c r="E252" s="215"/>
      <c r="F252" s="216"/>
      <c r="G252" s="173" t="s">
        <v>71</v>
      </c>
      <c r="H252" s="174"/>
      <c r="I252" s="174"/>
      <c r="J252" s="174"/>
      <c r="K252" s="174"/>
      <c r="L252" s="174"/>
      <c r="M252" s="174"/>
      <c r="N252" s="174"/>
      <c r="O252" s="174"/>
      <c r="P252" s="174"/>
      <c r="Q252" s="174"/>
      <c r="R252" s="56">
        <f>SUM(S252:V252)</f>
        <v>0</v>
      </c>
      <c r="S252" s="102">
        <v>0</v>
      </c>
      <c r="T252" s="103">
        <v>0</v>
      </c>
      <c r="U252" s="103">
        <v>0</v>
      </c>
      <c r="V252" s="102">
        <v>0</v>
      </c>
      <c r="W252" s="123">
        <v>0</v>
      </c>
      <c r="X252" s="120">
        <v>0</v>
      </c>
      <c r="Y252" s="75">
        <f>SUM(S252:V252)</f>
        <v>0</v>
      </c>
      <c r="Z252" s="29">
        <f t="shared" si="97"/>
        <v>0</v>
      </c>
    </row>
    <row r="253" spans="1:26" ht="24" customHeight="1" hidden="1">
      <c r="A253" s="214" t="s">
        <v>376</v>
      </c>
      <c r="B253" s="215"/>
      <c r="C253" s="215"/>
      <c r="D253" s="215"/>
      <c r="E253" s="215"/>
      <c r="F253" s="43"/>
      <c r="G253" s="217" t="s">
        <v>198</v>
      </c>
      <c r="H253" s="218"/>
      <c r="I253" s="218"/>
      <c r="J253" s="218"/>
      <c r="K253" s="218"/>
      <c r="L253" s="218"/>
      <c r="M253" s="218"/>
      <c r="N253" s="218"/>
      <c r="O253" s="218"/>
      <c r="P253" s="218"/>
      <c r="Q253" s="273"/>
      <c r="R253" s="55">
        <f>R254</f>
        <v>0</v>
      </c>
      <c r="S253" s="104">
        <f aca="true" t="shared" si="98" ref="S253:X254">S254</f>
        <v>0</v>
      </c>
      <c r="T253" s="105">
        <f t="shared" si="98"/>
        <v>0</v>
      </c>
      <c r="U253" s="105">
        <f t="shared" si="98"/>
        <v>0</v>
      </c>
      <c r="V253" s="104">
        <f t="shared" si="98"/>
        <v>0</v>
      </c>
      <c r="W253" s="131">
        <f t="shared" si="98"/>
        <v>0</v>
      </c>
      <c r="X253" s="130">
        <f t="shared" si="98"/>
        <v>0</v>
      </c>
      <c r="Y253" s="75">
        <f>SUM(S253:V253)</f>
        <v>0</v>
      </c>
      <c r="Z253" s="29">
        <f t="shared" si="97"/>
        <v>0</v>
      </c>
    </row>
    <row r="254" spans="1:26" s="76" customFormat="1" ht="24" customHeight="1" hidden="1">
      <c r="A254" s="214" t="s">
        <v>377</v>
      </c>
      <c r="B254" s="215"/>
      <c r="C254" s="215"/>
      <c r="D254" s="215"/>
      <c r="E254" s="215"/>
      <c r="F254" s="43"/>
      <c r="G254" s="217" t="s">
        <v>200</v>
      </c>
      <c r="H254" s="218"/>
      <c r="I254" s="218"/>
      <c r="J254" s="218"/>
      <c r="K254" s="218"/>
      <c r="L254" s="218"/>
      <c r="M254" s="218"/>
      <c r="N254" s="218"/>
      <c r="O254" s="218"/>
      <c r="P254" s="218"/>
      <c r="Q254" s="273"/>
      <c r="R254" s="55">
        <f>R255</f>
        <v>0</v>
      </c>
      <c r="S254" s="104">
        <f t="shared" si="98"/>
        <v>0</v>
      </c>
      <c r="T254" s="105">
        <f t="shared" si="98"/>
        <v>0</v>
      </c>
      <c r="U254" s="105">
        <f t="shared" si="98"/>
        <v>0</v>
      </c>
      <c r="V254" s="104">
        <f t="shared" si="98"/>
        <v>0</v>
      </c>
      <c r="W254" s="131">
        <f t="shared" si="98"/>
        <v>0</v>
      </c>
      <c r="X254" s="130">
        <f t="shared" si="98"/>
        <v>0</v>
      </c>
      <c r="Y254" s="75">
        <f>SUM(S254:V254)</f>
        <v>0</v>
      </c>
      <c r="Z254" s="29">
        <f t="shared" si="97"/>
        <v>0</v>
      </c>
    </row>
    <row r="255" spans="1:26" s="76" customFormat="1" ht="24" customHeight="1" hidden="1">
      <c r="A255" s="214" t="s">
        <v>378</v>
      </c>
      <c r="B255" s="215"/>
      <c r="C255" s="215"/>
      <c r="D255" s="215"/>
      <c r="E255" s="215"/>
      <c r="F255" s="43"/>
      <c r="G255" s="217" t="s">
        <v>202</v>
      </c>
      <c r="H255" s="218"/>
      <c r="I255" s="218"/>
      <c r="J255" s="218"/>
      <c r="K255" s="218"/>
      <c r="L255" s="218"/>
      <c r="M255" s="218"/>
      <c r="N255" s="218"/>
      <c r="O255" s="218"/>
      <c r="P255" s="218"/>
      <c r="Q255" s="273"/>
      <c r="R255" s="55">
        <f>R256+R257</f>
        <v>0</v>
      </c>
      <c r="S255" s="104">
        <f aca="true" t="shared" si="99" ref="S255:X255">S256+S257</f>
        <v>0</v>
      </c>
      <c r="T255" s="105">
        <f t="shared" si="99"/>
        <v>0</v>
      </c>
      <c r="U255" s="105">
        <f t="shared" si="99"/>
        <v>0</v>
      </c>
      <c r="V255" s="104">
        <f t="shared" si="99"/>
        <v>0</v>
      </c>
      <c r="W255" s="131">
        <f t="shared" si="99"/>
        <v>0</v>
      </c>
      <c r="X255" s="130">
        <f t="shared" si="99"/>
        <v>0</v>
      </c>
      <c r="Y255" s="75">
        <f>SUM(S255:V255)</f>
        <v>0</v>
      </c>
      <c r="Z255" s="29">
        <f t="shared" si="97"/>
        <v>0</v>
      </c>
    </row>
    <row r="256" spans="1:26" ht="12.75" hidden="1">
      <c r="A256" s="214" t="s">
        <v>384</v>
      </c>
      <c r="B256" s="215"/>
      <c r="C256" s="215"/>
      <c r="D256" s="215"/>
      <c r="E256" s="215"/>
      <c r="F256" s="216"/>
      <c r="G256" s="217" t="s">
        <v>43</v>
      </c>
      <c r="H256" s="218"/>
      <c r="I256" s="218"/>
      <c r="J256" s="218"/>
      <c r="K256" s="218"/>
      <c r="L256" s="218"/>
      <c r="M256" s="218"/>
      <c r="N256" s="218"/>
      <c r="O256" s="218"/>
      <c r="P256" s="218"/>
      <c r="Q256" s="218"/>
      <c r="R256" s="56">
        <f>SUM(S256:V256)</f>
        <v>0</v>
      </c>
      <c r="S256" s="102">
        <v>0</v>
      </c>
      <c r="T256" s="103">
        <v>0</v>
      </c>
      <c r="U256" s="103">
        <v>0</v>
      </c>
      <c r="V256" s="102">
        <v>0</v>
      </c>
      <c r="W256" s="123">
        <v>0</v>
      </c>
      <c r="X256" s="120">
        <v>0</v>
      </c>
      <c r="Y256" s="75">
        <f t="shared" si="73"/>
        <v>0</v>
      </c>
      <c r="Z256" s="29">
        <f t="shared" si="97"/>
        <v>0</v>
      </c>
    </row>
    <row r="257" spans="1:26" ht="12.75" hidden="1">
      <c r="A257" s="214" t="s">
        <v>385</v>
      </c>
      <c r="B257" s="215"/>
      <c r="C257" s="215"/>
      <c r="D257" s="215"/>
      <c r="E257" s="215"/>
      <c r="F257" s="216"/>
      <c r="G257" s="173" t="s">
        <v>71</v>
      </c>
      <c r="H257" s="174"/>
      <c r="I257" s="174"/>
      <c r="J257" s="174"/>
      <c r="K257" s="174"/>
      <c r="L257" s="174"/>
      <c r="M257" s="174"/>
      <c r="N257" s="174"/>
      <c r="O257" s="174"/>
      <c r="P257" s="174"/>
      <c r="Q257" s="174"/>
      <c r="R257" s="56">
        <f>SUM(S257:V257)</f>
        <v>0</v>
      </c>
      <c r="S257" s="102">
        <v>0</v>
      </c>
      <c r="T257" s="103">
        <v>0</v>
      </c>
      <c r="U257" s="103">
        <v>0</v>
      </c>
      <c r="V257" s="102">
        <v>0</v>
      </c>
      <c r="W257" s="123">
        <v>0</v>
      </c>
      <c r="X257" s="120">
        <v>0</v>
      </c>
      <c r="Y257" s="75">
        <f>SUM(S257:V257)</f>
        <v>0</v>
      </c>
      <c r="Z257" s="29">
        <f t="shared" si="97"/>
        <v>0</v>
      </c>
    </row>
    <row r="258" spans="1:26" s="4" customFormat="1" ht="12.75">
      <c r="A258" s="200" t="s">
        <v>142</v>
      </c>
      <c r="B258" s="201"/>
      <c r="C258" s="201"/>
      <c r="D258" s="201"/>
      <c r="E258" s="201"/>
      <c r="F258" s="202"/>
      <c r="G258" s="203" t="s">
        <v>56</v>
      </c>
      <c r="H258" s="204"/>
      <c r="I258" s="204"/>
      <c r="J258" s="204"/>
      <c r="K258" s="204"/>
      <c r="L258" s="204"/>
      <c r="M258" s="204"/>
      <c r="N258" s="204"/>
      <c r="O258" s="204"/>
      <c r="P258" s="204"/>
      <c r="Q258" s="204"/>
      <c r="R258" s="38">
        <f>R259</f>
        <v>5328600</v>
      </c>
      <c r="S258" s="64">
        <f aca="true" t="shared" si="100" ref="S258:X258">S259</f>
        <v>1652000</v>
      </c>
      <c r="T258" s="30">
        <f t="shared" si="100"/>
        <v>2014800</v>
      </c>
      <c r="U258" s="30">
        <f t="shared" si="100"/>
        <v>1161800</v>
      </c>
      <c r="V258" s="64">
        <f t="shared" si="100"/>
        <v>500000</v>
      </c>
      <c r="W258" s="38">
        <f t="shared" si="100"/>
        <v>5526100</v>
      </c>
      <c r="X258" s="114">
        <f t="shared" si="100"/>
        <v>5658800</v>
      </c>
      <c r="Y258" s="75">
        <f t="shared" si="73"/>
        <v>5328600</v>
      </c>
      <c r="Z258" s="29">
        <f t="shared" si="88"/>
        <v>0</v>
      </c>
    </row>
    <row r="259" spans="1:26" s="49" customFormat="1" ht="12.75">
      <c r="A259" s="205" t="s">
        <v>143</v>
      </c>
      <c r="B259" s="206"/>
      <c r="C259" s="206"/>
      <c r="D259" s="206"/>
      <c r="E259" s="206"/>
      <c r="F259" s="47"/>
      <c r="G259" s="267" t="s">
        <v>177</v>
      </c>
      <c r="H259" s="268"/>
      <c r="I259" s="268"/>
      <c r="J259" s="268"/>
      <c r="K259" s="268"/>
      <c r="L259" s="268"/>
      <c r="M259" s="268"/>
      <c r="N259" s="268"/>
      <c r="O259" s="268"/>
      <c r="P259" s="268"/>
      <c r="Q259" s="269"/>
      <c r="R259" s="53">
        <f>R260+R265</f>
        <v>5328600</v>
      </c>
      <c r="S259" s="88">
        <f aca="true" t="shared" si="101" ref="S259:X259">S260+S265</f>
        <v>1652000</v>
      </c>
      <c r="T259" s="51">
        <f t="shared" si="101"/>
        <v>2014800</v>
      </c>
      <c r="U259" s="51">
        <f t="shared" si="101"/>
        <v>1161800</v>
      </c>
      <c r="V259" s="88">
        <f t="shared" si="101"/>
        <v>500000</v>
      </c>
      <c r="W259" s="53">
        <f t="shared" si="101"/>
        <v>5526100</v>
      </c>
      <c r="X259" s="115">
        <f t="shared" si="101"/>
        <v>5658800</v>
      </c>
      <c r="Y259" s="75">
        <f t="shared" si="73"/>
        <v>5328600</v>
      </c>
      <c r="Z259" s="29">
        <f t="shared" si="88"/>
        <v>0</v>
      </c>
    </row>
    <row r="260" spans="1:26" s="3" customFormat="1" ht="12.75">
      <c r="A260" s="209" t="s">
        <v>178</v>
      </c>
      <c r="B260" s="210"/>
      <c r="C260" s="210"/>
      <c r="D260" s="210"/>
      <c r="E260" s="210"/>
      <c r="F260" s="211"/>
      <c r="G260" s="212" t="s">
        <v>176</v>
      </c>
      <c r="H260" s="213"/>
      <c r="I260" s="213"/>
      <c r="J260" s="213"/>
      <c r="K260" s="213"/>
      <c r="L260" s="213"/>
      <c r="M260" s="213"/>
      <c r="N260" s="213"/>
      <c r="O260" s="213"/>
      <c r="P260" s="213"/>
      <c r="Q260" s="213"/>
      <c r="R260" s="54">
        <f>R261</f>
        <v>87200</v>
      </c>
      <c r="S260" s="90">
        <f aca="true" t="shared" si="102" ref="S260:X263">S261</f>
        <v>25000</v>
      </c>
      <c r="T260" s="31">
        <f t="shared" si="102"/>
        <v>25000</v>
      </c>
      <c r="U260" s="31">
        <f t="shared" si="102"/>
        <v>5000</v>
      </c>
      <c r="V260" s="90">
        <f t="shared" si="102"/>
        <v>32200</v>
      </c>
      <c r="W260" s="54">
        <f t="shared" si="102"/>
        <v>90400</v>
      </c>
      <c r="X260" s="116">
        <f t="shared" si="102"/>
        <v>92600</v>
      </c>
      <c r="Y260" s="75">
        <f t="shared" si="73"/>
        <v>87200</v>
      </c>
      <c r="Z260" s="29">
        <f>R260-S260-T260-U260-V260</f>
        <v>0</v>
      </c>
    </row>
    <row r="261" spans="1:26" ht="33.75" customHeight="1">
      <c r="A261" s="214" t="s">
        <v>392</v>
      </c>
      <c r="B261" s="215"/>
      <c r="C261" s="215"/>
      <c r="D261" s="215"/>
      <c r="E261" s="215"/>
      <c r="F261" s="216"/>
      <c r="G261" s="217" t="s">
        <v>389</v>
      </c>
      <c r="H261" s="218"/>
      <c r="I261" s="218"/>
      <c r="J261" s="218"/>
      <c r="K261" s="218"/>
      <c r="L261" s="218"/>
      <c r="M261" s="218"/>
      <c r="N261" s="218"/>
      <c r="O261" s="218"/>
      <c r="P261" s="218"/>
      <c r="Q261" s="218"/>
      <c r="R261" s="55">
        <f>R262</f>
        <v>87200</v>
      </c>
      <c r="S261" s="65">
        <f t="shared" si="102"/>
        <v>25000</v>
      </c>
      <c r="T261" s="32">
        <f t="shared" si="102"/>
        <v>25000</v>
      </c>
      <c r="U261" s="32">
        <f t="shared" si="102"/>
        <v>5000</v>
      </c>
      <c r="V261" s="65">
        <f t="shared" si="102"/>
        <v>32200</v>
      </c>
      <c r="W261" s="55">
        <f t="shared" si="102"/>
        <v>90400</v>
      </c>
      <c r="X261" s="117">
        <f t="shared" si="102"/>
        <v>92600</v>
      </c>
      <c r="Y261" s="75">
        <f t="shared" si="73"/>
        <v>87200</v>
      </c>
      <c r="Z261" s="29">
        <f>R261-S261-T261-U261-V261</f>
        <v>0</v>
      </c>
    </row>
    <row r="262" spans="1:26" ht="12.75">
      <c r="A262" s="214" t="s">
        <v>393</v>
      </c>
      <c r="B262" s="215"/>
      <c r="C262" s="215"/>
      <c r="D262" s="215"/>
      <c r="E262" s="215"/>
      <c r="F262" s="216"/>
      <c r="G262" s="217" t="s">
        <v>390</v>
      </c>
      <c r="H262" s="218"/>
      <c r="I262" s="218"/>
      <c r="J262" s="218"/>
      <c r="K262" s="218"/>
      <c r="L262" s="218"/>
      <c r="M262" s="218"/>
      <c r="N262" s="218"/>
      <c r="O262" s="218"/>
      <c r="P262" s="218"/>
      <c r="Q262" s="218"/>
      <c r="R262" s="55">
        <f>R263</f>
        <v>87200</v>
      </c>
      <c r="S262" s="65">
        <f t="shared" si="102"/>
        <v>25000</v>
      </c>
      <c r="T262" s="32">
        <f t="shared" si="102"/>
        <v>25000</v>
      </c>
      <c r="U262" s="32">
        <f t="shared" si="102"/>
        <v>5000</v>
      </c>
      <c r="V262" s="65">
        <f t="shared" si="102"/>
        <v>32200</v>
      </c>
      <c r="W262" s="55">
        <f t="shared" si="102"/>
        <v>90400</v>
      </c>
      <c r="X262" s="117">
        <f t="shared" si="102"/>
        <v>92600</v>
      </c>
      <c r="Y262" s="75">
        <f t="shared" si="73"/>
        <v>87200</v>
      </c>
      <c r="Z262" s="29">
        <f>R262-S262-T262-U262-V262</f>
        <v>0</v>
      </c>
    </row>
    <row r="263" spans="1:26" ht="35.25" customHeight="1">
      <c r="A263" s="214" t="s">
        <v>394</v>
      </c>
      <c r="B263" s="215"/>
      <c r="C263" s="215"/>
      <c r="D263" s="215"/>
      <c r="E263" s="215"/>
      <c r="F263" s="216"/>
      <c r="G263" s="217" t="s">
        <v>391</v>
      </c>
      <c r="H263" s="218"/>
      <c r="I263" s="218"/>
      <c r="J263" s="218"/>
      <c r="K263" s="218"/>
      <c r="L263" s="218"/>
      <c r="M263" s="218"/>
      <c r="N263" s="218"/>
      <c r="O263" s="218"/>
      <c r="P263" s="218"/>
      <c r="Q263" s="218"/>
      <c r="R263" s="55">
        <f>R264</f>
        <v>87200</v>
      </c>
      <c r="S263" s="65">
        <f t="shared" si="102"/>
        <v>25000</v>
      </c>
      <c r="T263" s="32">
        <f t="shared" si="102"/>
        <v>25000</v>
      </c>
      <c r="U263" s="32">
        <f t="shared" si="102"/>
        <v>5000</v>
      </c>
      <c r="V263" s="65">
        <f t="shared" si="102"/>
        <v>32200</v>
      </c>
      <c r="W263" s="55">
        <f t="shared" si="102"/>
        <v>90400</v>
      </c>
      <c r="X263" s="117">
        <f t="shared" si="102"/>
        <v>92600</v>
      </c>
      <c r="Y263" s="75">
        <f t="shared" si="73"/>
        <v>87200</v>
      </c>
      <c r="Z263" s="29">
        <f>R263-S263-T263-U263-V263</f>
        <v>0</v>
      </c>
    </row>
    <row r="264" spans="1:26" ht="24" customHeight="1">
      <c r="A264" s="214" t="s">
        <v>395</v>
      </c>
      <c r="B264" s="215"/>
      <c r="C264" s="215"/>
      <c r="D264" s="215"/>
      <c r="E264" s="215"/>
      <c r="F264" s="216"/>
      <c r="G264" s="217" t="s">
        <v>219</v>
      </c>
      <c r="H264" s="218"/>
      <c r="I264" s="218"/>
      <c r="J264" s="218"/>
      <c r="K264" s="218"/>
      <c r="L264" s="218"/>
      <c r="M264" s="218"/>
      <c r="N264" s="218"/>
      <c r="O264" s="218"/>
      <c r="P264" s="218"/>
      <c r="Q264" s="218"/>
      <c r="R264" s="56">
        <f>SUM(S264:V264)</f>
        <v>87200</v>
      </c>
      <c r="S264" s="102">
        <f>25000</f>
        <v>25000</v>
      </c>
      <c r="T264" s="103">
        <f>25000</f>
        <v>25000</v>
      </c>
      <c r="U264" s="103">
        <f>5000</f>
        <v>5000</v>
      </c>
      <c r="V264" s="102">
        <f>32200</f>
        <v>32200</v>
      </c>
      <c r="W264" s="123">
        <v>90400</v>
      </c>
      <c r="X264" s="120">
        <v>92600</v>
      </c>
      <c r="Y264" s="75">
        <f t="shared" si="73"/>
        <v>87200</v>
      </c>
      <c r="Z264" s="29">
        <f>R264-S264-T264-U264-V264</f>
        <v>0</v>
      </c>
    </row>
    <row r="265" spans="1:26" s="3" customFormat="1" ht="12.75">
      <c r="A265" s="209" t="s">
        <v>144</v>
      </c>
      <c r="B265" s="210"/>
      <c r="C265" s="210"/>
      <c r="D265" s="210"/>
      <c r="E265" s="210"/>
      <c r="F265" s="211"/>
      <c r="G265" s="212" t="s">
        <v>57</v>
      </c>
      <c r="H265" s="213"/>
      <c r="I265" s="213"/>
      <c r="J265" s="213"/>
      <c r="K265" s="213"/>
      <c r="L265" s="213"/>
      <c r="M265" s="213"/>
      <c r="N265" s="213"/>
      <c r="O265" s="213"/>
      <c r="P265" s="213"/>
      <c r="Q265" s="213"/>
      <c r="R265" s="54">
        <f>R266</f>
        <v>5241400</v>
      </c>
      <c r="S265" s="90">
        <f aca="true" t="shared" si="103" ref="S265:X265">S266</f>
        <v>1627000</v>
      </c>
      <c r="T265" s="31">
        <f t="shared" si="103"/>
        <v>1989800</v>
      </c>
      <c r="U265" s="31">
        <f t="shared" si="103"/>
        <v>1156800</v>
      </c>
      <c r="V265" s="90">
        <f t="shared" si="103"/>
        <v>467800</v>
      </c>
      <c r="W265" s="54">
        <f t="shared" si="103"/>
        <v>5435700</v>
      </c>
      <c r="X265" s="116">
        <f t="shared" si="103"/>
        <v>5566200</v>
      </c>
      <c r="Y265" s="75">
        <f t="shared" si="73"/>
        <v>5241400</v>
      </c>
      <c r="Z265" s="29">
        <f t="shared" si="88"/>
        <v>0</v>
      </c>
    </row>
    <row r="266" spans="1:26" ht="35.25" customHeight="1">
      <c r="A266" s="214" t="s">
        <v>386</v>
      </c>
      <c r="B266" s="215"/>
      <c r="C266" s="215"/>
      <c r="D266" s="215"/>
      <c r="E266" s="215"/>
      <c r="F266" s="216"/>
      <c r="G266" s="217" t="s">
        <v>389</v>
      </c>
      <c r="H266" s="218"/>
      <c r="I266" s="218"/>
      <c r="J266" s="218"/>
      <c r="K266" s="218"/>
      <c r="L266" s="218"/>
      <c r="M266" s="218"/>
      <c r="N266" s="218"/>
      <c r="O266" s="218"/>
      <c r="P266" s="218"/>
      <c r="Q266" s="218"/>
      <c r="R266" s="55">
        <f>R267</f>
        <v>5241400</v>
      </c>
      <c r="S266" s="65">
        <f aca="true" t="shared" si="104" ref="S266:X266">SUM(S269:S269)</f>
        <v>1627000</v>
      </c>
      <c r="T266" s="32">
        <f t="shared" si="104"/>
        <v>1989800</v>
      </c>
      <c r="U266" s="32">
        <f t="shared" si="104"/>
        <v>1156800</v>
      </c>
      <c r="V266" s="65">
        <f t="shared" si="104"/>
        <v>467800</v>
      </c>
      <c r="W266" s="55">
        <f t="shared" si="104"/>
        <v>5435700</v>
      </c>
      <c r="X266" s="117">
        <f t="shared" si="104"/>
        <v>5566200</v>
      </c>
      <c r="Y266" s="75">
        <f t="shared" si="73"/>
        <v>5241400</v>
      </c>
      <c r="Z266" s="29">
        <f t="shared" si="88"/>
        <v>0</v>
      </c>
    </row>
    <row r="267" spans="1:26" ht="12.75">
      <c r="A267" s="214" t="s">
        <v>387</v>
      </c>
      <c r="B267" s="215"/>
      <c r="C267" s="215"/>
      <c r="D267" s="215"/>
      <c r="E267" s="215"/>
      <c r="F267" s="216"/>
      <c r="G267" s="217" t="s">
        <v>390</v>
      </c>
      <c r="H267" s="218"/>
      <c r="I267" s="218"/>
      <c r="J267" s="218"/>
      <c r="K267" s="218"/>
      <c r="L267" s="218"/>
      <c r="M267" s="218"/>
      <c r="N267" s="218"/>
      <c r="O267" s="218"/>
      <c r="P267" s="218"/>
      <c r="Q267" s="218"/>
      <c r="R267" s="55">
        <f>R268</f>
        <v>5241400</v>
      </c>
      <c r="S267" s="65">
        <f aca="true" t="shared" si="105" ref="S267:X267">SUM(S269:S269)</f>
        <v>1627000</v>
      </c>
      <c r="T267" s="32">
        <f t="shared" si="105"/>
        <v>1989800</v>
      </c>
      <c r="U267" s="32">
        <f t="shared" si="105"/>
        <v>1156800</v>
      </c>
      <c r="V267" s="65">
        <f t="shared" si="105"/>
        <v>467800</v>
      </c>
      <c r="W267" s="55">
        <f t="shared" si="105"/>
        <v>5435700</v>
      </c>
      <c r="X267" s="117">
        <f t="shared" si="105"/>
        <v>5566200</v>
      </c>
      <c r="Y267" s="75">
        <f>SUM(S267:V267)</f>
        <v>5241400</v>
      </c>
      <c r="Z267" s="29">
        <f>R267-S267-T267-U267-V267</f>
        <v>0</v>
      </c>
    </row>
    <row r="268" spans="1:26" ht="35.25" customHeight="1">
      <c r="A268" s="214" t="s">
        <v>388</v>
      </c>
      <c r="B268" s="215"/>
      <c r="C268" s="215"/>
      <c r="D268" s="215"/>
      <c r="E268" s="215"/>
      <c r="F268" s="216"/>
      <c r="G268" s="217" t="s">
        <v>391</v>
      </c>
      <c r="H268" s="218"/>
      <c r="I268" s="218"/>
      <c r="J268" s="218"/>
      <c r="K268" s="218"/>
      <c r="L268" s="218"/>
      <c r="M268" s="218"/>
      <c r="N268" s="218"/>
      <c r="O268" s="218"/>
      <c r="P268" s="218"/>
      <c r="Q268" s="218"/>
      <c r="R268" s="55">
        <f>R269</f>
        <v>5241400</v>
      </c>
      <c r="S268" s="65">
        <f aca="true" t="shared" si="106" ref="S268:X268">SUM(S269:S269)</f>
        <v>1627000</v>
      </c>
      <c r="T268" s="32">
        <f t="shared" si="106"/>
        <v>1989800</v>
      </c>
      <c r="U268" s="32">
        <f t="shared" si="106"/>
        <v>1156800</v>
      </c>
      <c r="V268" s="65">
        <f t="shared" si="106"/>
        <v>467800</v>
      </c>
      <c r="W268" s="55">
        <f t="shared" si="106"/>
        <v>5435700</v>
      </c>
      <c r="X268" s="117">
        <f t="shared" si="106"/>
        <v>5566200</v>
      </c>
      <c r="Y268" s="75">
        <f>SUM(S268:V268)</f>
        <v>5241400</v>
      </c>
      <c r="Z268" s="29">
        <f>R268-S268-T268-U268-V268</f>
        <v>0</v>
      </c>
    </row>
    <row r="269" spans="1:26" ht="24" customHeight="1">
      <c r="A269" s="214" t="s">
        <v>400</v>
      </c>
      <c r="B269" s="215"/>
      <c r="C269" s="215"/>
      <c r="D269" s="215"/>
      <c r="E269" s="215"/>
      <c r="F269" s="216"/>
      <c r="G269" s="217" t="s">
        <v>219</v>
      </c>
      <c r="H269" s="218"/>
      <c r="I269" s="218"/>
      <c r="J269" s="218"/>
      <c r="K269" s="218"/>
      <c r="L269" s="218"/>
      <c r="M269" s="218"/>
      <c r="N269" s="218"/>
      <c r="O269" s="218"/>
      <c r="P269" s="218"/>
      <c r="Q269" s="218"/>
      <c r="R269" s="56">
        <f>SUM(S269:V269)</f>
        <v>5241400</v>
      </c>
      <c r="S269" s="102">
        <f>1627000</f>
        <v>1627000</v>
      </c>
      <c r="T269" s="103">
        <f>1989800</f>
        <v>1989800</v>
      </c>
      <c r="U269" s="103">
        <f>1156800</f>
        <v>1156800</v>
      </c>
      <c r="V269" s="102">
        <f>467800</f>
        <v>467800</v>
      </c>
      <c r="W269" s="123">
        <v>5435700</v>
      </c>
      <c r="X269" s="120">
        <v>5566200</v>
      </c>
      <c r="Y269" s="75">
        <f aca="true" t="shared" si="107" ref="Y269:Y289">SUM(S269:V269)</f>
        <v>5241400</v>
      </c>
      <c r="Z269" s="29">
        <f>R269-S269-T269-U269-V269</f>
        <v>0</v>
      </c>
    </row>
    <row r="270" spans="1:26" s="4" customFormat="1" ht="16.5" customHeight="1">
      <c r="A270" s="200" t="s">
        <v>152</v>
      </c>
      <c r="B270" s="201"/>
      <c r="C270" s="201"/>
      <c r="D270" s="201"/>
      <c r="E270" s="201"/>
      <c r="F270" s="202"/>
      <c r="G270" s="203" t="s">
        <v>58</v>
      </c>
      <c r="H270" s="204"/>
      <c r="I270" s="204"/>
      <c r="J270" s="204"/>
      <c r="K270" s="204"/>
      <c r="L270" s="204"/>
      <c r="M270" s="204"/>
      <c r="N270" s="204"/>
      <c r="O270" s="204"/>
      <c r="P270" s="204"/>
      <c r="Q270" s="204"/>
      <c r="R270" s="38">
        <f>R271+R277</f>
        <v>2315200</v>
      </c>
      <c r="S270" s="64">
        <f aca="true" t="shared" si="108" ref="S270:X270">S271+S277</f>
        <v>748000</v>
      </c>
      <c r="T270" s="30">
        <f t="shared" si="108"/>
        <v>1035200</v>
      </c>
      <c r="U270" s="30">
        <f t="shared" si="108"/>
        <v>332000</v>
      </c>
      <c r="V270" s="64">
        <f t="shared" si="108"/>
        <v>200000</v>
      </c>
      <c r="W270" s="38">
        <f t="shared" si="108"/>
        <v>2400700</v>
      </c>
      <c r="X270" s="114">
        <f t="shared" si="108"/>
        <v>2458000</v>
      </c>
      <c r="Y270" s="75">
        <f t="shared" si="107"/>
        <v>2315200</v>
      </c>
      <c r="Z270" s="29">
        <f t="shared" si="88"/>
        <v>0</v>
      </c>
    </row>
    <row r="271" spans="1:26" s="49" customFormat="1" ht="16.5" customHeight="1">
      <c r="A271" s="205" t="s">
        <v>153</v>
      </c>
      <c r="B271" s="206"/>
      <c r="C271" s="206"/>
      <c r="D271" s="206"/>
      <c r="E271" s="206"/>
      <c r="F271" s="47"/>
      <c r="G271" s="207" t="s">
        <v>88</v>
      </c>
      <c r="H271" s="208"/>
      <c r="I271" s="208"/>
      <c r="J271" s="208"/>
      <c r="K271" s="208"/>
      <c r="L271" s="208"/>
      <c r="M271" s="208"/>
      <c r="N271" s="208"/>
      <c r="O271" s="208"/>
      <c r="P271" s="208"/>
      <c r="Q271" s="208"/>
      <c r="R271" s="53">
        <f>R272</f>
        <v>2305200</v>
      </c>
      <c r="S271" s="88">
        <f aca="true" t="shared" si="109" ref="S271:X275">S272</f>
        <v>745000</v>
      </c>
      <c r="T271" s="51">
        <f t="shared" si="109"/>
        <v>1032200</v>
      </c>
      <c r="U271" s="51">
        <f t="shared" si="109"/>
        <v>331000</v>
      </c>
      <c r="V271" s="88">
        <f t="shared" si="109"/>
        <v>197000</v>
      </c>
      <c r="W271" s="53">
        <f t="shared" si="109"/>
        <v>2390700</v>
      </c>
      <c r="X271" s="115">
        <f t="shared" si="109"/>
        <v>2448000</v>
      </c>
      <c r="Y271" s="75">
        <f t="shared" si="107"/>
        <v>2305200</v>
      </c>
      <c r="Z271" s="29">
        <f t="shared" si="88"/>
        <v>0</v>
      </c>
    </row>
    <row r="272" spans="1:26" s="3" customFormat="1" ht="16.5" customHeight="1">
      <c r="A272" s="209" t="s">
        <v>154</v>
      </c>
      <c r="B272" s="210"/>
      <c r="C272" s="210"/>
      <c r="D272" s="210"/>
      <c r="E272" s="210"/>
      <c r="F272" s="211"/>
      <c r="G272" s="212" t="s">
        <v>57</v>
      </c>
      <c r="H272" s="213"/>
      <c r="I272" s="213"/>
      <c r="J272" s="213"/>
      <c r="K272" s="213"/>
      <c r="L272" s="213"/>
      <c r="M272" s="213"/>
      <c r="N272" s="213"/>
      <c r="O272" s="213"/>
      <c r="P272" s="213"/>
      <c r="Q272" s="213"/>
      <c r="R272" s="54">
        <f>R273</f>
        <v>2305200</v>
      </c>
      <c r="S272" s="90">
        <f t="shared" si="109"/>
        <v>745000</v>
      </c>
      <c r="T272" s="31">
        <f t="shared" si="109"/>
        <v>1032200</v>
      </c>
      <c r="U272" s="31">
        <f t="shared" si="109"/>
        <v>331000</v>
      </c>
      <c r="V272" s="90">
        <f t="shared" si="109"/>
        <v>197000</v>
      </c>
      <c r="W272" s="54">
        <f t="shared" si="109"/>
        <v>2390700</v>
      </c>
      <c r="X272" s="116">
        <f t="shared" si="109"/>
        <v>2448000</v>
      </c>
      <c r="Y272" s="75">
        <f t="shared" si="107"/>
        <v>2305200</v>
      </c>
      <c r="Z272" s="29">
        <f t="shared" si="88"/>
        <v>0</v>
      </c>
    </row>
    <row r="273" spans="1:26" ht="35.25" customHeight="1">
      <c r="A273" s="214" t="s">
        <v>396</v>
      </c>
      <c r="B273" s="215"/>
      <c r="C273" s="215"/>
      <c r="D273" s="215"/>
      <c r="E273" s="215"/>
      <c r="F273" s="216"/>
      <c r="G273" s="217" t="s">
        <v>389</v>
      </c>
      <c r="H273" s="218"/>
      <c r="I273" s="218"/>
      <c r="J273" s="218"/>
      <c r="K273" s="218"/>
      <c r="L273" s="218"/>
      <c r="M273" s="218"/>
      <c r="N273" s="218"/>
      <c r="O273" s="218"/>
      <c r="P273" s="218"/>
      <c r="Q273" s="218"/>
      <c r="R273" s="55">
        <f>R274</f>
        <v>2305200</v>
      </c>
      <c r="S273" s="65">
        <f t="shared" si="109"/>
        <v>745000</v>
      </c>
      <c r="T273" s="32">
        <f t="shared" si="109"/>
        <v>1032200</v>
      </c>
      <c r="U273" s="32">
        <f t="shared" si="109"/>
        <v>331000</v>
      </c>
      <c r="V273" s="65">
        <f t="shared" si="109"/>
        <v>197000</v>
      </c>
      <c r="W273" s="55">
        <f t="shared" si="109"/>
        <v>2390700</v>
      </c>
      <c r="X273" s="117">
        <f t="shared" si="109"/>
        <v>2448000</v>
      </c>
      <c r="Y273" s="75">
        <f t="shared" si="107"/>
        <v>2305200</v>
      </c>
      <c r="Z273" s="29">
        <f>R273-S273-T273-U273-V273</f>
        <v>0</v>
      </c>
    </row>
    <row r="274" spans="1:26" ht="12.75">
      <c r="A274" s="214" t="s">
        <v>397</v>
      </c>
      <c r="B274" s="215"/>
      <c r="C274" s="215"/>
      <c r="D274" s="215"/>
      <c r="E274" s="215"/>
      <c r="F274" s="216"/>
      <c r="G274" s="217" t="s">
        <v>390</v>
      </c>
      <c r="H274" s="218"/>
      <c r="I274" s="218"/>
      <c r="J274" s="218"/>
      <c r="K274" s="218"/>
      <c r="L274" s="218"/>
      <c r="M274" s="218"/>
      <c r="N274" s="218"/>
      <c r="O274" s="218"/>
      <c r="P274" s="218"/>
      <c r="Q274" s="218"/>
      <c r="R274" s="55">
        <f>R275</f>
        <v>2305200</v>
      </c>
      <c r="S274" s="65">
        <f t="shared" si="109"/>
        <v>745000</v>
      </c>
      <c r="T274" s="32">
        <f t="shared" si="109"/>
        <v>1032200</v>
      </c>
      <c r="U274" s="32">
        <f t="shared" si="109"/>
        <v>331000</v>
      </c>
      <c r="V274" s="65">
        <f t="shared" si="109"/>
        <v>197000</v>
      </c>
      <c r="W274" s="55">
        <f t="shared" si="109"/>
        <v>2390700</v>
      </c>
      <c r="X274" s="117">
        <f t="shared" si="109"/>
        <v>2448000</v>
      </c>
      <c r="Y274" s="75">
        <f t="shared" si="107"/>
        <v>2305200</v>
      </c>
      <c r="Z274" s="29">
        <f>R274-S274-T274-U274-V274</f>
        <v>0</v>
      </c>
    </row>
    <row r="275" spans="1:26" ht="35.25" customHeight="1">
      <c r="A275" s="214" t="s">
        <v>398</v>
      </c>
      <c r="B275" s="215"/>
      <c r="C275" s="215"/>
      <c r="D275" s="215"/>
      <c r="E275" s="215"/>
      <c r="F275" s="216"/>
      <c r="G275" s="217" t="s">
        <v>391</v>
      </c>
      <c r="H275" s="218"/>
      <c r="I275" s="218"/>
      <c r="J275" s="218"/>
      <c r="K275" s="218"/>
      <c r="L275" s="218"/>
      <c r="M275" s="218"/>
      <c r="N275" s="218"/>
      <c r="O275" s="218"/>
      <c r="P275" s="218"/>
      <c r="Q275" s="218"/>
      <c r="R275" s="55">
        <f>R276</f>
        <v>2305200</v>
      </c>
      <c r="S275" s="65">
        <f t="shared" si="109"/>
        <v>745000</v>
      </c>
      <c r="T275" s="32">
        <f t="shared" si="109"/>
        <v>1032200</v>
      </c>
      <c r="U275" s="32">
        <f t="shared" si="109"/>
        <v>331000</v>
      </c>
      <c r="V275" s="65">
        <f t="shared" si="109"/>
        <v>197000</v>
      </c>
      <c r="W275" s="55">
        <f t="shared" si="109"/>
        <v>2390700</v>
      </c>
      <c r="X275" s="117">
        <f t="shared" si="109"/>
        <v>2448000</v>
      </c>
      <c r="Y275" s="75">
        <f t="shared" si="107"/>
        <v>2305200</v>
      </c>
      <c r="Z275" s="29">
        <f>R275-S275-T275-U275-V275</f>
        <v>0</v>
      </c>
    </row>
    <row r="276" spans="1:26" ht="24" customHeight="1">
      <c r="A276" s="214" t="s">
        <v>399</v>
      </c>
      <c r="B276" s="215"/>
      <c r="C276" s="215"/>
      <c r="D276" s="215"/>
      <c r="E276" s="215"/>
      <c r="F276" s="216"/>
      <c r="G276" s="217" t="s">
        <v>219</v>
      </c>
      <c r="H276" s="218"/>
      <c r="I276" s="218"/>
      <c r="J276" s="218"/>
      <c r="K276" s="218"/>
      <c r="L276" s="218"/>
      <c r="M276" s="218"/>
      <c r="N276" s="218"/>
      <c r="O276" s="218"/>
      <c r="P276" s="218"/>
      <c r="Q276" s="218"/>
      <c r="R276" s="56">
        <f>SUM(S276:V276)</f>
        <v>2305200</v>
      </c>
      <c r="S276" s="102">
        <f>745000</f>
        <v>745000</v>
      </c>
      <c r="T276" s="103">
        <f>1032200</f>
        <v>1032200</v>
      </c>
      <c r="U276" s="103">
        <f>331000</f>
        <v>331000</v>
      </c>
      <c r="V276" s="102">
        <f>197000</f>
        <v>197000</v>
      </c>
      <c r="W276" s="123">
        <v>2390700</v>
      </c>
      <c r="X276" s="120">
        <v>2448000</v>
      </c>
      <c r="Y276" s="75">
        <f t="shared" si="107"/>
        <v>2305200</v>
      </c>
      <c r="Z276" s="29">
        <f>R276-S276-T276-U276-V276</f>
        <v>0</v>
      </c>
    </row>
    <row r="277" spans="1:26" s="49" customFormat="1" ht="16.5" customHeight="1">
      <c r="A277" s="205" t="s">
        <v>401</v>
      </c>
      <c r="B277" s="206"/>
      <c r="C277" s="206"/>
      <c r="D277" s="206"/>
      <c r="E277" s="206"/>
      <c r="F277" s="47"/>
      <c r="G277" s="207" t="s">
        <v>402</v>
      </c>
      <c r="H277" s="208"/>
      <c r="I277" s="208"/>
      <c r="J277" s="208"/>
      <c r="K277" s="208"/>
      <c r="L277" s="208"/>
      <c r="M277" s="208"/>
      <c r="N277" s="208"/>
      <c r="O277" s="208"/>
      <c r="P277" s="208"/>
      <c r="Q277" s="208"/>
      <c r="R277" s="53">
        <f>R278</f>
        <v>10000</v>
      </c>
      <c r="S277" s="88">
        <f aca="true" t="shared" si="110" ref="S277:X277">S278</f>
        <v>3000</v>
      </c>
      <c r="T277" s="51">
        <f t="shared" si="110"/>
        <v>3000</v>
      </c>
      <c r="U277" s="51">
        <f t="shared" si="110"/>
        <v>1000</v>
      </c>
      <c r="V277" s="88">
        <f t="shared" si="110"/>
        <v>3000</v>
      </c>
      <c r="W277" s="53">
        <f t="shared" si="110"/>
        <v>10000</v>
      </c>
      <c r="X277" s="115">
        <f t="shared" si="110"/>
        <v>10000</v>
      </c>
      <c r="Y277" s="75">
        <f>SUM(S277:V277)</f>
        <v>10000</v>
      </c>
      <c r="Z277" s="29">
        <f>R277-S277-T277-U277-V277</f>
        <v>0</v>
      </c>
    </row>
    <row r="278" spans="1:26" s="3" customFormat="1" ht="21" customHeight="1">
      <c r="A278" s="209" t="s">
        <v>155</v>
      </c>
      <c r="B278" s="210"/>
      <c r="C278" s="210"/>
      <c r="D278" s="210"/>
      <c r="E278" s="210"/>
      <c r="F278" s="211"/>
      <c r="G278" s="212" t="s">
        <v>59</v>
      </c>
      <c r="H278" s="213"/>
      <c r="I278" s="213"/>
      <c r="J278" s="213"/>
      <c r="K278" s="213"/>
      <c r="L278" s="213"/>
      <c r="M278" s="213"/>
      <c r="N278" s="213"/>
      <c r="O278" s="213"/>
      <c r="P278" s="213"/>
      <c r="Q278" s="213"/>
      <c r="R278" s="54">
        <f aca="true" t="shared" si="111" ref="R278:X281">R279</f>
        <v>10000</v>
      </c>
      <c r="S278" s="90">
        <f t="shared" si="111"/>
        <v>3000</v>
      </c>
      <c r="T278" s="31">
        <f t="shared" si="111"/>
        <v>3000</v>
      </c>
      <c r="U278" s="31">
        <f t="shared" si="111"/>
        <v>1000</v>
      </c>
      <c r="V278" s="90">
        <f t="shared" si="111"/>
        <v>3000</v>
      </c>
      <c r="W278" s="54">
        <f t="shared" si="111"/>
        <v>10000</v>
      </c>
      <c r="X278" s="116">
        <f t="shared" si="111"/>
        <v>10000</v>
      </c>
      <c r="Y278" s="75">
        <f t="shared" si="107"/>
        <v>10000</v>
      </c>
      <c r="Z278" s="29">
        <f t="shared" si="88"/>
        <v>0</v>
      </c>
    </row>
    <row r="279" spans="1:26" ht="35.25" customHeight="1">
      <c r="A279" s="214" t="s">
        <v>403</v>
      </c>
      <c r="B279" s="215"/>
      <c r="C279" s="215"/>
      <c r="D279" s="215"/>
      <c r="E279" s="215"/>
      <c r="F279" s="216"/>
      <c r="G279" s="217" t="s">
        <v>389</v>
      </c>
      <c r="H279" s="218"/>
      <c r="I279" s="218"/>
      <c r="J279" s="218"/>
      <c r="K279" s="218"/>
      <c r="L279" s="218"/>
      <c r="M279" s="218"/>
      <c r="N279" s="218"/>
      <c r="O279" s="218"/>
      <c r="P279" s="218"/>
      <c r="Q279" s="218"/>
      <c r="R279" s="55">
        <f>R280</f>
        <v>10000</v>
      </c>
      <c r="S279" s="65">
        <f t="shared" si="111"/>
        <v>3000</v>
      </c>
      <c r="T279" s="32">
        <f t="shared" si="111"/>
        <v>3000</v>
      </c>
      <c r="U279" s="32">
        <f t="shared" si="111"/>
        <v>1000</v>
      </c>
      <c r="V279" s="65">
        <f t="shared" si="111"/>
        <v>3000</v>
      </c>
      <c r="W279" s="55">
        <f t="shared" si="111"/>
        <v>10000</v>
      </c>
      <c r="X279" s="117">
        <f t="shared" si="111"/>
        <v>10000</v>
      </c>
      <c r="Y279" s="75">
        <f>SUM(S279:V279)</f>
        <v>10000</v>
      </c>
      <c r="Z279" s="29">
        <f t="shared" si="88"/>
        <v>0</v>
      </c>
    </row>
    <row r="280" spans="1:26" ht="12.75">
      <c r="A280" s="214" t="s">
        <v>404</v>
      </c>
      <c r="B280" s="215"/>
      <c r="C280" s="215"/>
      <c r="D280" s="215"/>
      <c r="E280" s="215"/>
      <c r="F280" s="216"/>
      <c r="G280" s="217" t="s">
        <v>390</v>
      </c>
      <c r="H280" s="218"/>
      <c r="I280" s="218"/>
      <c r="J280" s="218"/>
      <c r="K280" s="218"/>
      <c r="L280" s="218"/>
      <c r="M280" s="218"/>
      <c r="N280" s="218"/>
      <c r="O280" s="218"/>
      <c r="P280" s="218"/>
      <c r="Q280" s="218"/>
      <c r="R280" s="55">
        <f>R281</f>
        <v>10000</v>
      </c>
      <c r="S280" s="65">
        <f t="shared" si="111"/>
        <v>3000</v>
      </c>
      <c r="T280" s="32">
        <f t="shared" si="111"/>
        <v>3000</v>
      </c>
      <c r="U280" s="32">
        <f t="shared" si="111"/>
        <v>1000</v>
      </c>
      <c r="V280" s="65">
        <f t="shared" si="111"/>
        <v>3000</v>
      </c>
      <c r="W280" s="55">
        <f t="shared" si="111"/>
        <v>10000</v>
      </c>
      <c r="X280" s="117">
        <f t="shared" si="111"/>
        <v>10000</v>
      </c>
      <c r="Y280" s="75">
        <f>SUM(S280:V280)</f>
        <v>10000</v>
      </c>
      <c r="Z280" s="29">
        <f t="shared" si="88"/>
        <v>0</v>
      </c>
    </row>
    <row r="281" spans="1:26" ht="35.25" customHeight="1">
      <c r="A281" s="214" t="s">
        <v>405</v>
      </c>
      <c r="B281" s="215"/>
      <c r="C281" s="215"/>
      <c r="D281" s="215"/>
      <c r="E281" s="215"/>
      <c r="F281" s="216"/>
      <c r="G281" s="217" t="s">
        <v>391</v>
      </c>
      <c r="H281" s="218"/>
      <c r="I281" s="218"/>
      <c r="J281" s="218"/>
      <c r="K281" s="218"/>
      <c r="L281" s="218"/>
      <c r="M281" s="218"/>
      <c r="N281" s="218"/>
      <c r="O281" s="218"/>
      <c r="P281" s="218"/>
      <c r="Q281" s="218"/>
      <c r="R281" s="55">
        <f>R282</f>
        <v>10000</v>
      </c>
      <c r="S281" s="65">
        <f t="shared" si="111"/>
        <v>3000</v>
      </c>
      <c r="T281" s="32">
        <f t="shared" si="111"/>
        <v>3000</v>
      </c>
      <c r="U281" s="32">
        <f t="shared" si="111"/>
        <v>1000</v>
      </c>
      <c r="V281" s="65">
        <f t="shared" si="111"/>
        <v>3000</v>
      </c>
      <c r="W281" s="55">
        <f t="shared" si="111"/>
        <v>10000</v>
      </c>
      <c r="X281" s="117">
        <f t="shared" si="111"/>
        <v>10000</v>
      </c>
      <c r="Y281" s="75">
        <f>SUM(S281:V281)</f>
        <v>10000</v>
      </c>
      <c r="Z281" s="29">
        <f t="shared" si="88"/>
        <v>0</v>
      </c>
    </row>
    <row r="282" spans="1:26" ht="24" customHeight="1" thickBot="1">
      <c r="A282" s="214" t="s">
        <v>406</v>
      </c>
      <c r="B282" s="215"/>
      <c r="C282" s="215"/>
      <c r="D282" s="215"/>
      <c r="E282" s="215"/>
      <c r="F282" s="216"/>
      <c r="G282" s="217" t="s">
        <v>219</v>
      </c>
      <c r="H282" s="218"/>
      <c r="I282" s="218"/>
      <c r="J282" s="218"/>
      <c r="K282" s="218"/>
      <c r="L282" s="218"/>
      <c r="M282" s="218"/>
      <c r="N282" s="218"/>
      <c r="O282" s="218"/>
      <c r="P282" s="218"/>
      <c r="Q282" s="218"/>
      <c r="R282" s="56">
        <f>SUM(S282:V282)</f>
        <v>10000</v>
      </c>
      <c r="S282" s="91">
        <f>3000</f>
        <v>3000</v>
      </c>
      <c r="T282" s="33">
        <f>3000</f>
        <v>3000</v>
      </c>
      <c r="U282" s="33">
        <f>1000</f>
        <v>1000</v>
      </c>
      <c r="V282" s="91">
        <f>3000</f>
        <v>3000</v>
      </c>
      <c r="W282" s="56">
        <v>10000</v>
      </c>
      <c r="X282" s="119">
        <v>10000</v>
      </c>
      <c r="Y282" s="75">
        <f t="shared" si="107"/>
        <v>10000</v>
      </c>
      <c r="Z282" s="29">
        <f>R282-S282-T282-U282-V282</f>
        <v>0</v>
      </c>
    </row>
    <row r="283" spans="1:26" s="4" customFormat="1" ht="16.5" customHeight="1" hidden="1">
      <c r="A283" s="200" t="s">
        <v>145</v>
      </c>
      <c r="B283" s="201"/>
      <c r="C283" s="201"/>
      <c r="D283" s="201"/>
      <c r="E283" s="201"/>
      <c r="F283" s="202"/>
      <c r="G283" s="279" t="s">
        <v>60</v>
      </c>
      <c r="H283" s="280"/>
      <c r="I283" s="280"/>
      <c r="J283" s="280"/>
      <c r="K283" s="280"/>
      <c r="L283" s="280"/>
      <c r="M283" s="280"/>
      <c r="N283" s="280"/>
      <c r="O283" s="280"/>
      <c r="P283" s="280"/>
      <c r="Q283" s="280"/>
      <c r="R283" s="38">
        <f aca="true" t="shared" si="112" ref="R283:X283">R287+R284</f>
        <v>0</v>
      </c>
      <c r="S283" s="64">
        <f t="shared" si="112"/>
        <v>0</v>
      </c>
      <c r="T283" s="30">
        <f t="shared" si="112"/>
        <v>0</v>
      </c>
      <c r="U283" s="30">
        <f t="shared" si="112"/>
        <v>0</v>
      </c>
      <c r="V283" s="64">
        <f t="shared" si="112"/>
        <v>0</v>
      </c>
      <c r="W283" s="38">
        <f t="shared" si="112"/>
        <v>0</v>
      </c>
      <c r="X283" s="114">
        <f t="shared" si="112"/>
        <v>0</v>
      </c>
      <c r="Y283" s="75">
        <f t="shared" si="107"/>
        <v>0</v>
      </c>
      <c r="Z283" s="29">
        <f t="shared" si="88"/>
        <v>0</v>
      </c>
    </row>
    <row r="284" spans="1:26" s="4" customFormat="1" ht="16.5" customHeight="1" hidden="1">
      <c r="A284" s="209" t="s">
        <v>146</v>
      </c>
      <c r="B284" s="210"/>
      <c r="C284" s="210"/>
      <c r="D284" s="210"/>
      <c r="E284" s="210"/>
      <c r="F284" s="211"/>
      <c r="G284" s="281" t="s">
        <v>61</v>
      </c>
      <c r="H284" s="282"/>
      <c r="I284" s="282"/>
      <c r="J284" s="282"/>
      <c r="K284" s="282"/>
      <c r="L284" s="282"/>
      <c r="M284" s="282"/>
      <c r="N284" s="282"/>
      <c r="O284" s="282"/>
      <c r="P284" s="282"/>
      <c r="Q284" s="282"/>
      <c r="R284" s="54">
        <f>R285</f>
        <v>0</v>
      </c>
      <c r="S284" s="57">
        <f aca="true" t="shared" si="113" ref="S284:X285">S285</f>
        <v>0</v>
      </c>
      <c r="T284" s="31">
        <f t="shared" si="113"/>
        <v>0</v>
      </c>
      <c r="U284" s="31">
        <f t="shared" si="113"/>
        <v>0</v>
      </c>
      <c r="V284" s="35">
        <f t="shared" si="113"/>
        <v>0</v>
      </c>
      <c r="W284" s="54">
        <f t="shared" si="113"/>
        <v>0</v>
      </c>
      <c r="X284" s="116">
        <f t="shared" si="113"/>
        <v>0</v>
      </c>
      <c r="Y284" s="75">
        <f t="shared" si="107"/>
        <v>0</v>
      </c>
      <c r="Z284" s="29">
        <f t="shared" si="88"/>
        <v>0</v>
      </c>
    </row>
    <row r="285" spans="1:26" s="4" customFormat="1" ht="16.5" customHeight="1" hidden="1">
      <c r="A285" s="214" t="s">
        <v>407</v>
      </c>
      <c r="B285" s="215"/>
      <c r="C285" s="215"/>
      <c r="D285" s="215"/>
      <c r="E285" s="215"/>
      <c r="F285" s="216"/>
      <c r="G285" s="283" t="s">
        <v>62</v>
      </c>
      <c r="H285" s="284"/>
      <c r="I285" s="284"/>
      <c r="J285" s="284"/>
      <c r="K285" s="284"/>
      <c r="L285" s="284"/>
      <c r="M285" s="284"/>
      <c r="N285" s="284"/>
      <c r="O285" s="284"/>
      <c r="P285" s="284"/>
      <c r="Q285" s="284"/>
      <c r="R285" s="55">
        <f>R286</f>
        <v>0</v>
      </c>
      <c r="S285" s="58">
        <f t="shared" si="113"/>
        <v>0</v>
      </c>
      <c r="T285" s="32">
        <f t="shared" si="113"/>
        <v>0</v>
      </c>
      <c r="U285" s="32">
        <f t="shared" si="113"/>
        <v>0</v>
      </c>
      <c r="V285" s="36">
        <f t="shared" si="113"/>
        <v>0</v>
      </c>
      <c r="W285" s="55">
        <f t="shared" si="113"/>
        <v>0</v>
      </c>
      <c r="X285" s="117">
        <f t="shared" si="113"/>
        <v>0</v>
      </c>
      <c r="Y285" s="75">
        <f t="shared" si="107"/>
        <v>0</v>
      </c>
      <c r="Z285" s="29">
        <f t="shared" si="88"/>
        <v>0</v>
      </c>
    </row>
    <row r="286" spans="1:26" s="4" customFormat="1" ht="16.5" customHeight="1" hidden="1">
      <c r="A286" s="285" t="s">
        <v>408</v>
      </c>
      <c r="B286" s="286"/>
      <c r="C286" s="286"/>
      <c r="D286" s="286"/>
      <c r="E286" s="286"/>
      <c r="F286" s="287"/>
      <c r="G286" s="288" t="s">
        <v>63</v>
      </c>
      <c r="H286" s="289"/>
      <c r="I286" s="289"/>
      <c r="J286" s="289"/>
      <c r="K286" s="289"/>
      <c r="L286" s="289"/>
      <c r="M286" s="289"/>
      <c r="N286" s="289"/>
      <c r="O286" s="289"/>
      <c r="P286" s="289"/>
      <c r="Q286" s="289"/>
      <c r="R286" s="56">
        <f>SUM(S286:V286)</f>
        <v>0</v>
      </c>
      <c r="S286" s="101"/>
      <c r="T286" s="99"/>
      <c r="U286" s="99"/>
      <c r="V286" s="154"/>
      <c r="W286" s="100">
        <v>0</v>
      </c>
      <c r="X286" s="118">
        <v>0</v>
      </c>
      <c r="Y286" s="75">
        <f t="shared" si="107"/>
        <v>0</v>
      </c>
      <c r="Z286" s="29">
        <f t="shared" si="88"/>
        <v>0</v>
      </c>
    </row>
    <row r="287" spans="1:26" s="3" customFormat="1" ht="16.5" customHeight="1" hidden="1">
      <c r="A287" s="209" t="s">
        <v>165</v>
      </c>
      <c r="B287" s="210"/>
      <c r="C287" s="210"/>
      <c r="D287" s="210"/>
      <c r="E287" s="210"/>
      <c r="F287" s="211"/>
      <c r="G287" s="290" t="s">
        <v>77</v>
      </c>
      <c r="H287" s="291"/>
      <c r="I287" s="291"/>
      <c r="J287" s="291"/>
      <c r="K287" s="291"/>
      <c r="L287" s="291"/>
      <c r="M287" s="291"/>
      <c r="N287" s="291"/>
      <c r="O287" s="291"/>
      <c r="P287" s="291"/>
      <c r="Q287" s="291"/>
      <c r="R287" s="54">
        <f>R288</f>
        <v>0</v>
      </c>
      <c r="S287" s="59">
        <f aca="true" t="shared" si="114" ref="S287:V288">S288</f>
        <v>0</v>
      </c>
      <c r="T287" s="37">
        <f t="shared" si="114"/>
        <v>0</v>
      </c>
      <c r="U287" s="37">
        <f t="shared" si="114"/>
        <v>0</v>
      </c>
      <c r="V287" s="77">
        <f t="shared" si="114"/>
        <v>0</v>
      </c>
      <c r="W287" s="54"/>
      <c r="X287" s="116"/>
      <c r="Y287" s="75">
        <f t="shared" si="107"/>
        <v>0</v>
      </c>
      <c r="Z287" s="29">
        <f t="shared" si="88"/>
        <v>0</v>
      </c>
    </row>
    <row r="288" spans="1:26" ht="16.5" customHeight="1" hidden="1">
      <c r="A288" s="214" t="s">
        <v>409</v>
      </c>
      <c r="B288" s="215"/>
      <c r="C288" s="215"/>
      <c r="D288" s="215"/>
      <c r="E288" s="215"/>
      <c r="F288" s="216"/>
      <c r="G288" s="290" t="s">
        <v>46</v>
      </c>
      <c r="H288" s="291"/>
      <c r="I288" s="291"/>
      <c r="J288" s="291"/>
      <c r="K288" s="291"/>
      <c r="L288" s="291"/>
      <c r="M288" s="291"/>
      <c r="N288" s="291"/>
      <c r="O288" s="291"/>
      <c r="P288" s="291"/>
      <c r="Q288" s="291"/>
      <c r="R288" s="55">
        <f>R289</f>
        <v>0</v>
      </c>
      <c r="S288" s="58">
        <f t="shared" si="114"/>
        <v>0</v>
      </c>
      <c r="T288" s="32">
        <f t="shared" si="114"/>
        <v>0</v>
      </c>
      <c r="U288" s="32">
        <f t="shared" si="114"/>
        <v>0</v>
      </c>
      <c r="V288" s="36">
        <f t="shared" si="114"/>
        <v>0</v>
      </c>
      <c r="W288" s="55"/>
      <c r="X288" s="117"/>
      <c r="Y288" s="75">
        <f t="shared" si="107"/>
        <v>0</v>
      </c>
      <c r="Z288" s="29">
        <f t="shared" si="88"/>
        <v>0</v>
      </c>
    </row>
    <row r="289" spans="1:26" ht="16.5" customHeight="1" hidden="1" thickBot="1">
      <c r="A289" s="285" t="s">
        <v>410</v>
      </c>
      <c r="B289" s="286"/>
      <c r="C289" s="286"/>
      <c r="D289" s="286"/>
      <c r="E289" s="286"/>
      <c r="F289" s="287"/>
      <c r="G289" s="292" t="s">
        <v>42</v>
      </c>
      <c r="H289" s="293"/>
      <c r="I289" s="293"/>
      <c r="J289" s="293"/>
      <c r="K289" s="293"/>
      <c r="L289" s="293"/>
      <c r="M289" s="293"/>
      <c r="N289" s="293"/>
      <c r="O289" s="293"/>
      <c r="P289" s="293"/>
      <c r="Q289" s="293"/>
      <c r="R289" s="56">
        <f>SUM(S289:V289)</f>
        <v>0</v>
      </c>
      <c r="S289" s="60"/>
      <c r="T289" s="34"/>
      <c r="U289" s="34"/>
      <c r="V289" s="78"/>
      <c r="W289" s="56"/>
      <c r="X289" s="119"/>
      <c r="Y289" s="75">
        <f t="shared" si="107"/>
        <v>0</v>
      </c>
      <c r="Z289" s="29">
        <f t="shared" si="88"/>
        <v>0</v>
      </c>
    </row>
    <row r="290" spans="1:26" ht="18.75" customHeight="1" thickBot="1">
      <c r="A290" s="294" t="s">
        <v>64</v>
      </c>
      <c r="B290" s="295"/>
      <c r="C290" s="295"/>
      <c r="D290" s="295"/>
      <c r="E290" s="295"/>
      <c r="F290" s="295"/>
      <c r="G290" s="295"/>
      <c r="H290" s="295"/>
      <c r="I290" s="295"/>
      <c r="J290" s="295"/>
      <c r="K290" s="295"/>
      <c r="L290" s="295"/>
      <c r="M290" s="295"/>
      <c r="N290" s="295"/>
      <c r="O290" s="295"/>
      <c r="P290" s="295"/>
      <c r="Q290" s="295"/>
      <c r="R290" s="87">
        <f>R283+R270+R258+R246+R202+R197+R186+R179+R169+R152+R131+R112+R88+R62+R56+R50+R25+R17+R120</f>
        <v>28663400</v>
      </c>
      <c r="S290" s="92">
        <f aca="true" t="shared" si="115" ref="S290:X290">S283+S270+S258+S246+S202+S197+S186+S179+S169+S152+S131+S112+S88+S62+S56+S50+S25+S17+S120</f>
        <v>6829061</v>
      </c>
      <c r="T290" s="87">
        <f t="shared" si="115"/>
        <v>10092935</v>
      </c>
      <c r="U290" s="87">
        <f t="shared" si="115"/>
        <v>8531386</v>
      </c>
      <c r="V290" s="97">
        <f t="shared" si="115"/>
        <v>3210018</v>
      </c>
      <c r="W290" s="87">
        <f t="shared" si="115"/>
        <v>21645400</v>
      </c>
      <c r="X290" s="92">
        <f t="shared" si="115"/>
        <v>22709700</v>
      </c>
      <c r="Y290" s="29">
        <f>SUM(S290:V290)</f>
        <v>28663400</v>
      </c>
      <c r="Z290" s="29">
        <f>R290-S290-T290-U290-V290</f>
        <v>0</v>
      </c>
    </row>
    <row r="291" spans="1:25" ht="9.75" customHeight="1">
      <c r="A291" s="296"/>
      <c r="B291" s="296"/>
      <c r="C291" s="296"/>
      <c r="D291" s="296"/>
      <c r="E291" s="296"/>
      <c r="F291" s="296"/>
      <c r="G291" s="296"/>
      <c r="H291" s="296"/>
      <c r="I291" s="296"/>
      <c r="J291" s="296"/>
      <c r="K291" s="296"/>
      <c r="L291" s="296"/>
      <c r="M291" s="296"/>
      <c r="N291" s="296"/>
      <c r="O291" s="296"/>
      <c r="P291" s="296"/>
      <c r="Q291" s="296"/>
      <c r="R291" s="296"/>
      <c r="S291" s="296"/>
      <c r="T291" s="296"/>
      <c r="U291" s="296"/>
      <c r="V291" s="296"/>
      <c r="W291" s="44"/>
      <c r="X291" s="44"/>
      <c r="Y291" s="6">
        <f>R290-Y290</f>
        <v>0</v>
      </c>
    </row>
    <row r="292" spans="1:24" ht="15" customHeight="1">
      <c r="A292" s="297" t="s">
        <v>80</v>
      </c>
      <c r="B292" s="297"/>
      <c r="C292" s="297"/>
      <c r="D292" s="297"/>
      <c r="E292" s="297"/>
      <c r="F292" s="297"/>
      <c r="G292" s="297"/>
      <c r="H292" s="297"/>
      <c r="I292" s="297"/>
      <c r="J292" s="297"/>
      <c r="K292" s="297"/>
      <c r="L292" s="297"/>
      <c r="M292" s="297"/>
      <c r="N292" s="298" t="s">
        <v>81</v>
      </c>
      <c r="O292" s="298"/>
      <c r="P292" s="298"/>
      <c r="Q292" s="298"/>
      <c r="R292" s="298"/>
      <c r="S292" s="299"/>
      <c r="T292" s="299"/>
      <c r="U292" s="299"/>
      <c r="V292" s="299"/>
      <c r="W292" s="2"/>
      <c r="X292" s="2"/>
    </row>
    <row r="293" spans="1:24" ht="9" customHeight="1">
      <c r="A293" s="299"/>
      <c r="B293" s="299"/>
      <c r="C293" s="299"/>
      <c r="D293" s="299"/>
      <c r="E293" s="299"/>
      <c r="F293" s="299"/>
      <c r="G293" s="299"/>
      <c r="H293" s="299"/>
      <c r="I293" s="299"/>
      <c r="J293" s="2"/>
      <c r="K293" s="300" t="s">
        <v>65</v>
      </c>
      <c r="L293" s="300"/>
      <c r="M293" s="25"/>
      <c r="N293" s="301"/>
      <c r="O293" s="301"/>
      <c r="P293" s="300" t="s">
        <v>66</v>
      </c>
      <c r="Q293" s="300"/>
      <c r="R293" s="300"/>
      <c r="S293" s="299"/>
      <c r="T293" s="299"/>
      <c r="U293" s="299"/>
      <c r="V293" s="299"/>
      <c r="W293" s="2"/>
      <c r="X293" s="2"/>
    </row>
    <row r="294" spans="1:24" ht="15" customHeight="1">
      <c r="A294" s="297" t="s">
        <v>73</v>
      </c>
      <c r="B294" s="297"/>
      <c r="C294" s="297"/>
      <c r="D294" s="297"/>
      <c r="E294" s="297"/>
      <c r="F294" s="297"/>
      <c r="G294" s="297"/>
      <c r="H294" s="297"/>
      <c r="I294" s="297"/>
      <c r="J294" s="297"/>
      <c r="K294" s="297"/>
      <c r="L294" s="297"/>
      <c r="M294" s="297"/>
      <c r="N294" s="298" t="s">
        <v>74</v>
      </c>
      <c r="O294" s="298"/>
      <c r="P294" s="298"/>
      <c r="Q294" s="298"/>
      <c r="R294" s="298"/>
      <c r="S294" s="299"/>
      <c r="T294" s="299"/>
      <c r="U294" s="299"/>
      <c r="V294" s="299"/>
      <c r="W294" s="2"/>
      <c r="X294" s="2"/>
    </row>
    <row r="295" spans="1:24" ht="9" customHeight="1">
      <c r="A295" s="299"/>
      <c r="B295" s="299"/>
      <c r="C295" s="299"/>
      <c r="D295" s="299"/>
      <c r="E295" s="299"/>
      <c r="F295" s="299"/>
      <c r="G295" s="299"/>
      <c r="H295" s="299"/>
      <c r="I295" s="299"/>
      <c r="J295" s="2"/>
      <c r="K295" s="300" t="s">
        <v>65</v>
      </c>
      <c r="L295" s="300"/>
      <c r="M295" s="25"/>
      <c r="N295" s="301"/>
      <c r="O295" s="301"/>
      <c r="P295" s="300" t="s">
        <v>66</v>
      </c>
      <c r="Q295" s="300"/>
      <c r="R295" s="300"/>
      <c r="S295" s="299"/>
      <c r="T295" s="299"/>
      <c r="U295" s="299"/>
      <c r="V295" s="299"/>
      <c r="W295" s="2"/>
      <c r="X295" s="2"/>
    </row>
    <row r="296" spans="1:24" ht="12" customHeight="1">
      <c r="A296" s="302">
        <f>V4</f>
        <v>40909</v>
      </c>
      <c r="B296" s="303"/>
      <c r="C296" s="303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42"/>
      <c r="X296" s="42"/>
    </row>
    <row r="297" spans="1:24" ht="16.5" customHeight="1">
      <c r="A297" s="300" t="s">
        <v>67</v>
      </c>
      <c r="B297" s="300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134"/>
      <c r="X297" s="134"/>
    </row>
    <row r="298" spans="1:24" ht="16.5" customHeight="1">
      <c r="A298" s="133"/>
      <c r="B298" s="133"/>
      <c r="C298" s="133"/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133"/>
      <c r="U298" s="133"/>
      <c r="V298" s="133"/>
      <c r="W298" s="135"/>
      <c r="X298" s="135"/>
    </row>
    <row r="299" spans="23:24" ht="16.5" customHeight="1">
      <c r="W299" s="95"/>
      <c r="X299" s="95"/>
    </row>
    <row r="313" ht="12.75">
      <c r="R313" s="1" t="s">
        <v>69</v>
      </c>
    </row>
    <row r="320" spans="22:24" ht="12.75">
      <c r="V320" s="147" t="s">
        <v>411</v>
      </c>
      <c r="W320" s="148">
        <v>21645400</v>
      </c>
      <c r="X320" s="148">
        <v>22709700</v>
      </c>
    </row>
    <row r="321" spans="22:24" ht="12.75">
      <c r="V321" s="149"/>
      <c r="W321" s="150">
        <f>W290-W320</f>
        <v>0</v>
      </c>
      <c r="X321" s="150">
        <f>X290-X320</f>
        <v>0</v>
      </c>
    </row>
  </sheetData>
  <mergeCells count="592">
    <mergeCell ref="A262:F262"/>
    <mergeCell ref="G262:Q262"/>
    <mergeCell ref="A277:E277"/>
    <mergeCell ref="G277:Q277"/>
    <mergeCell ref="A263:F263"/>
    <mergeCell ref="G263:Q263"/>
    <mergeCell ref="A264:F264"/>
    <mergeCell ref="G264:Q264"/>
    <mergeCell ref="A267:F267"/>
    <mergeCell ref="G267:Q267"/>
    <mergeCell ref="A268:F268"/>
    <mergeCell ref="G268:Q268"/>
    <mergeCell ref="A255:E255"/>
    <mergeCell ref="G255:Q255"/>
    <mergeCell ref="A257:F257"/>
    <mergeCell ref="G257:Q257"/>
    <mergeCell ref="A266:F266"/>
    <mergeCell ref="G266:Q266"/>
    <mergeCell ref="A260:F260"/>
    <mergeCell ref="G260:Q260"/>
    <mergeCell ref="A251:F251"/>
    <mergeCell ref="G251:Q251"/>
    <mergeCell ref="A248:E248"/>
    <mergeCell ref="G248:Q248"/>
    <mergeCell ref="A249:E249"/>
    <mergeCell ref="G249:Q249"/>
    <mergeCell ref="A244:F244"/>
    <mergeCell ref="G244:Q244"/>
    <mergeCell ref="A250:E250"/>
    <mergeCell ref="G250:Q250"/>
    <mergeCell ref="A247:F247"/>
    <mergeCell ref="G247:Q247"/>
    <mergeCell ref="A245:F245"/>
    <mergeCell ref="G245:Q245"/>
    <mergeCell ref="A246:F246"/>
    <mergeCell ref="G246:Q246"/>
    <mergeCell ref="A226:E226"/>
    <mergeCell ref="G226:Q226"/>
    <mergeCell ref="A227:E227"/>
    <mergeCell ref="G227:Q227"/>
    <mergeCell ref="G214:Q214"/>
    <mergeCell ref="A219:F219"/>
    <mergeCell ref="G219:Q219"/>
    <mergeCell ref="A218:F218"/>
    <mergeCell ref="G218:Q218"/>
    <mergeCell ref="A217:F217"/>
    <mergeCell ref="G217:Q217"/>
    <mergeCell ref="A216:F216"/>
    <mergeCell ref="G216:Q216"/>
    <mergeCell ref="A215:F215"/>
    <mergeCell ref="A189:E189"/>
    <mergeCell ref="A190:E190"/>
    <mergeCell ref="G190:Q190"/>
    <mergeCell ref="A191:E191"/>
    <mergeCell ref="G191:Q191"/>
    <mergeCell ref="A187:F187"/>
    <mergeCell ref="G187:Q187"/>
    <mergeCell ref="A177:E177"/>
    <mergeCell ref="G177:Q177"/>
    <mergeCell ref="G179:Q179"/>
    <mergeCell ref="A180:F180"/>
    <mergeCell ref="G180:Q180"/>
    <mergeCell ref="A178:E178"/>
    <mergeCell ref="G178:Q178"/>
    <mergeCell ref="G173:Q173"/>
    <mergeCell ref="A182:E182"/>
    <mergeCell ref="G182:Q182"/>
    <mergeCell ref="A179:E179"/>
    <mergeCell ref="A174:E174"/>
    <mergeCell ref="G174:Q174"/>
    <mergeCell ref="A175:E175"/>
    <mergeCell ref="G175:Q175"/>
    <mergeCell ref="A176:E176"/>
    <mergeCell ref="G176:Q176"/>
    <mergeCell ref="G144:Q144"/>
    <mergeCell ref="A147:F147"/>
    <mergeCell ref="G147:Q147"/>
    <mergeCell ref="G146:Q146"/>
    <mergeCell ref="G143:Q143"/>
    <mergeCell ref="A135:F135"/>
    <mergeCell ref="G135:Q135"/>
    <mergeCell ref="A134:F134"/>
    <mergeCell ref="G134:Q134"/>
    <mergeCell ref="A136:F136"/>
    <mergeCell ref="G136:Q136"/>
    <mergeCell ref="G96:Q96"/>
    <mergeCell ref="A111:F111"/>
    <mergeCell ref="G111:Q111"/>
    <mergeCell ref="A108:F108"/>
    <mergeCell ref="G108:Q108"/>
    <mergeCell ref="A109:F109"/>
    <mergeCell ref="G109:Q109"/>
    <mergeCell ref="A110:F110"/>
    <mergeCell ref="G110:Q110"/>
    <mergeCell ref="G88:Q88"/>
    <mergeCell ref="A90:F90"/>
    <mergeCell ref="G90:Q90"/>
    <mergeCell ref="A89:E89"/>
    <mergeCell ref="G89:Q89"/>
    <mergeCell ref="G181:Q181"/>
    <mergeCell ref="G78:Q78"/>
    <mergeCell ref="A76:E76"/>
    <mergeCell ref="G76:Q76"/>
    <mergeCell ref="A77:F77"/>
    <mergeCell ref="G77:Q77"/>
    <mergeCell ref="A80:F80"/>
    <mergeCell ref="G80:Q80"/>
    <mergeCell ref="A92:F92"/>
    <mergeCell ref="G92:Q92"/>
    <mergeCell ref="G149:Q149"/>
    <mergeCell ref="A21:F21"/>
    <mergeCell ref="G21:Q21"/>
    <mergeCell ref="A185:E185"/>
    <mergeCell ref="G185:Q185"/>
    <mergeCell ref="A183:E183"/>
    <mergeCell ref="G183:Q183"/>
    <mergeCell ref="A184:E184"/>
    <mergeCell ref="G184:Q184"/>
    <mergeCell ref="A181:E181"/>
    <mergeCell ref="G215:Q215"/>
    <mergeCell ref="A201:F201"/>
    <mergeCell ref="G201:Q201"/>
    <mergeCell ref="A208:F208"/>
    <mergeCell ref="G208:Q208"/>
    <mergeCell ref="A202:F202"/>
    <mergeCell ref="A207:E207"/>
    <mergeCell ref="G207:Q207"/>
    <mergeCell ref="A214:F214"/>
    <mergeCell ref="A212:F212"/>
    <mergeCell ref="G212:Q212"/>
    <mergeCell ref="A213:F213"/>
    <mergeCell ref="G213:Q213"/>
    <mergeCell ref="A209:F209"/>
    <mergeCell ref="G209:Q209"/>
    <mergeCell ref="A211:F211"/>
    <mergeCell ref="G211:Q211"/>
    <mergeCell ref="G202:Q202"/>
    <mergeCell ref="A204:F204"/>
    <mergeCell ref="G204:Q204"/>
    <mergeCell ref="G205:Q205"/>
    <mergeCell ref="A205:E205"/>
    <mergeCell ref="A206:E206"/>
    <mergeCell ref="G206:Q206"/>
    <mergeCell ref="A203:E203"/>
    <mergeCell ref="A210:F210"/>
    <mergeCell ref="G210:Q210"/>
    <mergeCell ref="G203:Q203"/>
    <mergeCell ref="G197:Q197"/>
    <mergeCell ref="A192:F192"/>
    <mergeCell ref="G192:Q192"/>
    <mergeCell ref="A194:F194"/>
    <mergeCell ref="G194:Q194"/>
    <mergeCell ref="A193:F193"/>
    <mergeCell ref="G193:Q193"/>
    <mergeCell ref="G195:Q195"/>
    <mergeCell ref="A58:F58"/>
    <mergeCell ref="G58:Q58"/>
    <mergeCell ref="A69:F69"/>
    <mergeCell ref="G69:Q69"/>
    <mergeCell ref="A65:F65"/>
    <mergeCell ref="G65:Q65"/>
    <mergeCell ref="A62:F62"/>
    <mergeCell ref="G62:Q62"/>
    <mergeCell ref="A63:E63"/>
    <mergeCell ref="G63:Q63"/>
    <mergeCell ref="W13:W14"/>
    <mergeCell ref="X13:X14"/>
    <mergeCell ref="A54:F54"/>
    <mergeCell ref="G54:Q54"/>
    <mergeCell ref="A52:F52"/>
    <mergeCell ref="G52:Q52"/>
    <mergeCell ref="G13:Q14"/>
    <mergeCell ref="R13:R14"/>
    <mergeCell ref="A16:F16"/>
    <mergeCell ref="G16:Q16"/>
    <mergeCell ref="A17:F17"/>
    <mergeCell ref="G17:Q17"/>
    <mergeCell ref="A64:F64"/>
    <mergeCell ref="G64:Q64"/>
    <mergeCell ref="A18:E18"/>
    <mergeCell ref="G18:Q18"/>
    <mergeCell ref="A20:F20"/>
    <mergeCell ref="G20:Q20"/>
    <mergeCell ref="A19:F19"/>
    <mergeCell ref="G19:Q19"/>
    <mergeCell ref="A1:V1"/>
    <mergeCell ref="A3:K3"/>
    <mergeCell ref="L3:N3"/>
    <mergeCell ref="A6:E6"/>
    <mergeCell ref="K4:Q4"/>
    <mergeCell ref="A7:G7"/>
    <mergeCell ref="A12:V12"/>
    <mergeCell ref="A13:F14"/>
    <mergeCell ref="G15:Q15"/>
    <mergeCell ref="S13:V13"/>
    <mergeCell ref="A15:F15"/>
    <mergeCell ref="A23:F23"/>
    <mergeCell ref="G23:Q23"/>
    <mergeCell ref="A24:F24"/>
    <mergeCell ref="G24:Q24"/>
    <mergeCell ref="A37:F37"/>
    <mergeCell ref="G37:Q37"/>
    <mergeCell ref="A36:F36"/>
    <mergeCell ref="G36:Q36"/>
    <mergeCell ref="A38:F38"/>
    <mergeCell ref="G38:Q38"/>
    <mergeCell ref="A39:F39"/>
    <mergeCell ref="G39:Q39"/>
    <mergeCell ref="A40:F40"/>
    <mergeCell ref="G40:Q40"/>
    <mergeCell ref="A41:F41"/>
    <mergeCell ref="G41:Q41"/>
    <mergeCell ref="A42:F42"/>
    <mergeCell ref="G42:Q42"/>
    <mergeCell ref="A44:F44"/>
    <mergeCell ref="G44:Q44"/>
    <mergeCell ref="A43:F43"/>
    <mergeCell ref="G43:Q43"/>
    <mergeCell ref="A45:F45"/>
    <mergeCell ref="G45:Q45"/>
    <mergeCell ref="A53:F53"/>
    <mergeCell ref="G53:Q53"/>
    <mergeCell ref="A50:F50"/>
    <mergeCell ref="G50:Q50"/>
    <mergeCell ref="A51:F51"/>
    <mergeCell ref="G51:Q51"/>
    <mergeCell ref="A49:F49"/>
    <mergeCell ref="G49:Q49"/>
    <mergeCell ref="G99:Q99"/>
    <mergeCell ref="A91:F91"/>
    <mergeCell ref="G91:Q91"/>
    <mergeCell ref="A94:F94"/>
    <mergeCell ref="G94:Q94"/>
    <mergeCell ref="A93:F93"/>
    <mergeCell ref="G93:Q93"/>
    <mergeCell ref="A95:F95"/>
    <mergeCell ref="G95:Q95"/>
    <mergeCell ref="A96:F96"/>
    <mergeCell ref="G101:Q101"/>
    <mergeCell ref="A102:F102"/>
    <mergeCell ref="G102:Q102"/>
    <mergeCell ref="A97:F97"/>
    <mergeCell ref="G97:Q97"/>
    <mergeCell ref="A100:F100"/>
    <mergeCell ref="G100:Q100"/>
    <mergeCell ref="A98:F98"/>
    <mergeCell ref="G98:Q98"/>
    <mergeCell ref="A99:F99"/>
    <mergeCell ref="G103:Q103"/>
    <mergeCell ref="A106:F106"/>
    <mergeCell ref="G106:Q106"/>
    <mergeCell ref="A105:F105"/>
    <mergeCell ref="G105:Q105"/>
    <mergeCell ref="A104:F104"/>
    <mergeCell ref="G104:Q104"/>
    <mergeCell ref="A186:F186"/>
    <mergeCell ref="G186:Q186"/>
    <mergeCell ref="A131:F131"/>
    <mergeCell ref="G131:Q131"/>
    <mergeCell ref="A132:E132"/>
    <mergeCell ref="G132:Q132"/>
    <mergeCell ref="A133:E133"/>
    <mergeCell ref="G133:Q133"/>
    <mergeCell ref="A148:F148"/>
    <mergeCell ref="G148:Q148"/>
    <mergeCell ref="G220:Q220"/>
    <mergeCell ref="A223:F223"/>
    <mergeCell ref="G223:Q223"/>
    <mergeCell ref="A222:E222"/>
    <mergeCell ref="G222:Q222"/>
    <mergeCell ref="A220:E220"/>
    <mergeCell ref="A221:E221"/>
    <mergeCell ref="G221:Q221"/>
    <mergeCell ref="A224:F224"/>
    <mergeCell ref="G224:Q224"/>
    <mergeCell ref="G225:Q225"/>
    <mergeCell ref="A225:E225"/>
    <mergeCell ref="A228:F228"/>
    <mergeCell ref="G228:Q228"/>
    <mergeCell ref="A231:F231"/>
    <mergeCell ref="G231:Q231"/>
    <mergeCell ref="A230:F230"/>
    <mergeCell ref="G230:Q230"/>
    <mergeCell ref="A229:F229"/>
    <mergeCell ref="G229:Q229"/>
    <mergeCell ref="G233:Q233"/>
    <mergeCell ref="A236:F236"/>
    <mergeCell ref="G236:Q236"/>
    <mergeCell ref="A238:F238"/>
    <mergeCell ref="G238:Q238"/>
    <mergeCell ref="A235:E235"/>
    <mergeCell ref="G235:Q235"/>
    <mergeCell ref="A233:E233"/>
    <mergeCell ref="A234:E234"/>
    <mergeCell ref="G234:Q234"/>
    <mergeCell ref="A239:F239"/>
    <mergeCell ref="G239:Q239"/>
    <mergeCell ref="A241:F241"/>
    <mergeCell ref="G241:Q241"/>
    <mergeCell ref="A240:F240"/>
    <mergeCell ref="G240:Q240"/>
    <mergeCell ref="A242:F242"/>
    <mergeCell ref="G242:Q242"/>
    <mergeCell ref="A243:F243"/>
    <mergeCell ref="G243:Q243"/>
    <mergeCell ref="A256:F256"/>
    <mergeCell ref="G256:Q256"/>
    <mergeCell ref="A265:F265"/>
    <mergeCell ref="G265:Q265"/>
    <mergeCell ref="A259:E259"/>
    <mergeCell ref="G259:Q259"/>
    <mergeCell ref="A258:F258"/>
    <mergeCell ref="G258:Q258"/>
    <mergeCell ref="A261:F261"/>
    <mergeCell ref="G261:Q261"/>
    <mergeCell ref="A270:F270"/>
    <mergeCell ref="G270:Q270"/>
    <mergeCell ref="A272:F272"/>
    <mergeCell ref="G272:Q272"/>
    <mergeCell ref="A271:E271"/>
    <mergeCell ref="G271:Q271"/>
    <mergeCell ref="A273:F273"/>
    <mergeCell ref="G273:Q273"/>
    <mergeCell ref="A274:F274"/>
    <mergeCell ref="G274:Q274"/>
    <mergeCell ref="A275:F275"/>
    <mergeCell ref="G275:Q275"/>
    <mergeCell ref="A278:F278"/>
    <mergeCell ref="G278:Q278"/>
    <mergeCell ref="A276:F276"/>
    <mergeCell ref="A279:F279"/>
    <mergeCell ref="G279:Q279"/>
    <mergeCell ref="A283:F283"/>
    <mergeCell ref="G283:Q283"/>
    <mergeCell ref="A282:F282"/>
    <mergeCell ref="G282:Q282"/>
    <mergeCell ref="A280:F280"/>
    <mergeCell ref="G280:Q280"/>
    <mergeCell ref="A281:F281"/>
    <mergeCell ref="G281:Q281"/>
    <mergeCell ref="A287:F287"/>
    <mergeCell ref="G287:Q287"/>
    <mergeCell ref="A284:F284"/>
    <mergeCell ref="G284:Q284"/>
    <mergeCell ref="A285:F285"/>
    <mergeCell ref="G285:Q285"/>
    <mergeCell ref="A286:F286"/>
    <mergeCell ref="G286:Q286"/>
    <mergeCell ref="A288:F288"/>
    <mergeCell ref="G288:Q288"/>
    <mergeCell ref="A289:F289"/>
    <mergeCell ref="G289:Q289"/>
    <mergeCell ref="A290:Q290"/>
    <mergeCell ref="A291:V291"/>
    <mergeCell ref="A292:H292"/>
    <mergeCell ref="I292:M292"/>
    <mergeCell ref="N292:R292"/>
    <mergeCell ref="S292:V292"/>
    <mergeCell ref="S293:V293"/>
    <mergeCell ref="A294:H294"/>
    <mergeCell ref="I294:M294"/>
    <mergeCell ref="N294:R294"/>
    <mergeCell ref="S294:V294"/>
    <mergeCell ref="A293:I293"/>
    <mergeCell ref="K293:L293"/>
    <mergeCell ref="N293:O293"/>
    <mergeCell ref="P293:R293"/>
    <mergeCell ref="A297:B297"/>
    <mergeCell ref="A295:I295"/>
    <mergeCell ref="K295:L295"/>
    <mergeCell ref="N295:O295"/>
    <mergeCell ref="P295:R295"/>
    <mergeCell ref="A296:C296"/>
    <mergeCell ref="O3:P3"/>
    <mergeCell ref="A9:H9"/>
    <mergeCell ref="A8:F8"/>
    <mergeCell ref="F6:R6"/>
    <mergeCell ref="H7:S7"/>
    <mergeCell ref="G11:P11"/>
    <mergeCell ref="A11:C11"/>
    <mergeCell ref="S295:V295"/>
    <mergeCell ref="G60:Q60"/>
    <mergeCell ref="A61:F61"/>
    <mergeCell ref="G61:Q61"/>
    <mergeCell ref="A85:E85"/>
    <mergeCell ref="G68:Q68"/>
    <mergeCell ref="A71:F71"/>
    <mergeCell ref="G71:Q71"/>
    <mergeCell ref="A79:F79"/>
    <mergeCell ref="G79:Q79"/>
    <mergeCell ref="A78:F78"/>
    <mergeCell ref="A253:E253"/>
    <mergeCell ref="A254:E254"/>
    <mergeCell ref="G254:Q254"/>
    <mergeCell ref="A252:F252"/>
    <mergeCell ref="G252:Q252"/>
    <mergeCell ref="G253:Q253"/>
    <mergeCell ref="G137:Q137"/>
    <mergeCell ref="A138:F138"/>
    <mergeCell ref="G138:Q138"/>
    <mergeCell ref="A140:F140"/>
    <mergeCell ref="G140:Q140"/>
    <mergeCell ref="A139:E139"/>
    <mergeCell ref="G139:Q139"/>
    <mergeCell ref="G141:Q141"/>
    <mergeCell ref="A151:F151"/>
    <mergeCell ref="G151:Q151"/>
    <mergeCell ref="A150:F150"/>
    <mergeCell ref="G150:Q150"/>
    <mergeCell ref="A142:F142"/>
    <mergeCell ref="G142:Q142"/>
    <mergeCell ref="A145:F145"/>
    <mergeCell ref="G145:Q145"/>
    <mergeCell ref="A146:F146"/>
    <mergeCell ref="G121:Q121"/>
    <mergeCell ref="A126:E126"/>
    <mergeCell ref="G126:Q126"/>
    <mergeCell ref="A120:E120"/>
    <mergeCell ref="A121:F121"/>
    <mergeCell ref="A122:E122"/>
    <mergeCell ref="G120:Q120"/>
    <mergeCell ref="A123:F123"/>
    <mergeCell ref="A124:F124"/>
    <mergeCell ref="G122:Q122"/>
    <mergeCell ref="G123:Q123"/>
    <mergeCell ref="G129:Q129"/>
    <mergeCell ref="F130:Q130"/>
    <mergeCell ref="A128:E128"/>
    <mergeCell ref="G128:Q128"/>
    <mergeCell ref="A127:E127"/>
    <mergeCell ref="G127:Q127"/>
    <mergeCell ref="G124:Q124"/>
    <mergeCell ref="A125:F125"/>
    <mergeCell ref="G125:Q125"/>
    <mergeCell ref="A82:F82"/>
    <mergeCell ref="G82:Q82"/>
    <mergeCell ref="A83:F83"/>
    <mergeCell ref="G83:Q83"/>
    <mergeCell ref="A173:E173"/>
    <mergeCell ref="A198:F198"/>
    <mergeCell ref="A171:E171"/>
    <mergeCell ref="G171:Q171"/>
    <mergeCell ref="A188:F188"/>
    <mergeCell ref="G188:Q188"/>
    <mergeCell ref="G189:Q189"/>
    <mergeCell ref="G198:Q198"/>
    <mergeCell ref="A195:F195"/>
    <mergeCell ref="A197:F197"/>
    <mergeCell ref="A75:F75"/>
    <mergeCell ref="A167:E167"/>
    <mergeCell ref="A172:E172"/>
    <mergeCell ref="G172:Q172"/>
    <mergeCell ref="A169:E169"/>
    <mergeCell ref="G169:Q169"/>
    <mergeCell ref="A170:F170"/>
    <mergeCell ref="G170:Q170"/>
    <mergeCell ref="G84:Q84"/>
    <mergeCell ref="A81:F81"/>
    <mergeCell ref="A152:E152"/>
    <mergeCell ref="A112:E112"/>
    <mergeCell ref="A117:F117"/>
    <mergeCell ref="A137:F137"/>
    <mergeCell ref="A149:F149"/>
    <mergeCell ref="A129:E129"/>
    <mergeCell ref="A130:E130"/>
    <mergeCell ref="A143:F143"/>
    <mergeCell ref="A144:F144"/>
    <mergeCell ref="A118:F118"/>
    <mergeCell ref="A119:F119"/>
    <mergeCell ref="A84:F84"/>
    <mergeCell ref="A141:E141"/>
    <mergeCell ref="A87:E87"/>
    <mergeCell ref="A86:E86"/>
    <mergeCell ref="A107:F107"/>
    <mergeCell ref="A103:F103"/>
    <mergeCell ref="A101:F101"/>
    <mergeCell ref="A88:F88"/>
    <mergeCell ref="A155:E155"/>
    <mergeCell ref="G155:Q155"/>
    <mergeCell ref="A156:E156"/>
    <mergeCell ref="A168:E168"/>
    <mergeCell ref="A196:F196"/>
    <mergeCell ref="G196:Q196"/>
    <mergeCell ref="A237:F237"/>
    <mergeCell ref="G237:Q237"/>
    <mergeCell ref="A232:F232"/>
    <mergeCell ref="G232:Q232"/>
    <mergeCell ref="A200:F200"/>
    <mergeCell ref="G200:Q200"/>
    <mergeCell ref="A199:F199"/>
    <mergeCell ref="G199:Q199"/>
    <mergeCell ref="G152:Q152"/>
    <mergeCell ref="A153:F153"/>
    <mergeCell ref="G153:Q153"/>
    <mergeCell ref="A158:E158"/>
    <mergeCell ref="G158:Q158"/>
    <mergeCell ref="A154:E154"/>
    <mergeCell ref="G154:Q154"/>
    <mergeCell ref="G156:Q156"/>
    <mergeCell ref="G157:Q157"/>
    <mergeCell ref="A157:E157"/>
    <mergeCell ref="G162:Q162"/>
    <mergeCell ref="A159:E159"/>
    <mergeCell ref="G159:Q159"/>
    <mergeCell ref="A160:E160"/>
    <mergeCell ref="G160:Q160"/>
    <mergeCell ref="A161:E161"/>
    <mergeCell ref="G161:Q161"/>
    <mergeCell ref="G163:Q163"/>
    <mergeCell ref="G164:Q164"/>
    <mergeCell ref="G165:Q165"/>
    <mergeCell ref="G166:Q166"/>
    <mergeCell ref="G167:Q167"/>
    <mergeCell ref="G168:Q168"/>
    <mergeCell ref="G276:Q276"/>
    <mergeCell ref="A162:E162"/>
    <mergeCell ref="A163:E163"/>
    <mergeCell ref="A164:E164"/>
    <mergeCell ref="A165:E165"/>
    <mergeCell ref="A269:F269"/>
    <mergeCell ref="G269:Q269"/>
    <mergeCell ref="A166:E166"/>
    <mergeCell ref="A22:F22"/>
    <mergeCell ref="G22:Q22"/>
    <mergeCell ref="A28:F28"/>
    <mergeCell ref="G28:Q28"/>
    <mergeCell ref="A25:F25"/>
    <mergeCell ref="G25:Q25"/>
    <mergeCell ref="A27:F27"/>
    <mergeCell ref="G27:Q27"/>
    <mergeCell ref="A26:E26"/>
    <mergeCell ref="G26:Q26"/>
    <mergeCell ref="A29:F29"/>
    <mergeCell ref="G29:Q29"/>
    <mergeCell ref="A32:F32"/>
    <mergeCell ref="G32:Q32"/>
    <mergeCell ref="A30:F30"/>
    <mergeCell ref="G30:Q30"/>
    <mergeCell ref="A31:F31"/>
    <mergeCell ref="G31:Q31"/>
    <mergeCell ref="A33:F33"/>
    <mergeCell ref="G33:Q33"/>
    <mergeCell ref="A35:F35"/>
    <mergeCell ref="G35:Q35"/>
    <mergeCell ref="A34:F34"/>
    <mergeCell ref="G34:Q34"/>
    <mergeCell ref="A46:F46"/>
    <mergeCell ref="G46:Q46"/>
    <mergeCell ref="A47:F47"/>
    <mergeCell ref="G47:Q47"/>
    <mergeCell ref="A48:F48"/>
    <mergeCell ref="G48:Q48"/>
    <mergeCell ref="A57:F57"/>
    <mergeCell ref="G57:Q57"/>
    <mergeCell ref="A55:F55"/>
    <mergeCell ref="G55:Q55"/>
    <mergeCell ref="A56:F56"/>
    <mergeCell ref="G56:Q56"/>
    <mergeCell ref="A59:F59"/>
    <mergeCell ref="G59:Q59"/>
    <mergeCell ref="A70:F70"/>
    <mergeCell ref="G70:P70"/>
    <mergeCell ref="A66:F66"/>
    <mergeCell ref="G66:Q66"/>
    <mergeCell ref="A67:F67"/>
    <mergeCell ref="G67:Q67"/>
    <mergeCell ref="A68:F68"/>
    <mergeCell ref="A60:F60"/>
    <mergeCell ref="A72:F72"/>
    <mergeCell ref="G72:Q72"/>
    <mergeCell ref="A73:F73"/>
    <mergeCell ref="A74:F74"/>
    <mergeCell ref="G117:Q117"/>
    <mergeCell ref="G118:Q118"/>
    <mergeCell ref="G74:Q74"/>
    <mergeCell ref="G73:Q73"/>
    <mergeCell ref="G75:Q75"/>
    <mergeCell ref="G81:Q81"/>
    <mergeCell ref="G85:Q85"/>
    <mergeCell ref="G87:Q87"/>
    <mergeCell ref="G86:Q86"/>
    <mergeCell ref="G107:Q107"/>
    <mergeCell ref="G112:Q112"/>
    <mergeCell ref="A114:F114"/>
    <mergeCell ref="G114:Q114"/>
    <mergeCell ref="G119:Q119"/>
    <mergeCell ref="A113:E113"/>
    <mergeCell ref="G113:Q113"/>
    <mergeCell ref="A115:F115"/>
    <mergeCell ref="G115:Q115"/>
    <mergeCell ref="A116:F116"/>
    <mergeCell ref="G116:Q116"/>
  </mergeCells>
  <printOptions horizontalCentered="1"/>
  <pageMargins left="0" right="0" top="0.4724409448818898" bottom="0.2755905511811024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workbookViewId="0" topLeftCell="A1">
      <selection activeCell="A1" sqref="A1:IV16384"/>
    </sheetView>
  </sheetViews>
  <sheetFormatPr defaultColWidth="9.00390625" defaultRowHeight="12.75"/>
  <cols>
    <col min="1" max="16384" width="9.125" style="1" customWidth="1"/>
  </cols>
  <sheetData/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Алябьевский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 Пользователь</dc:creator>
  <cp:keywords/>
  <dc:description/>
  <cp:lastModifiedBy>Glava</cp:lastModifiedBy>
  <cp:lastPrinted>2012-02-27T08:50:17Z</cp:lastPrinted>
  <dcterms:created xsi:type="dcterms:W3CDTF">2008-06-09T11:33:47Z</dcterms:created>
  <dcterms:modified xsi:type="dcterms:W3CDTF">2012-04-03T08:46:12Z</dcterms:modified>
  <cp:category/>
  <cp:version/>
  <cp:contentType/>
  <cp:contentStatus/>
</cp:coreProperties>
</file>